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10"/>
  </bookViews>
  <sheets>
    <sheet name="Лист2" sheetId="1" r:id="rId1"/>
    <sheet name="А. Петр. 266" sheetId="2" r:id="rId2"/>
    <sheet name="Шук. 26а" sheetId="3" r:id="rId3"/>
    <sheet name="Шук, 28" sheetId="4" r:id="rId4"/>
    <sheet name="Шук, 34" sheetId="5" r:id="rId5"/>
    <sheet name="С. Пол. 31" sheetId="6" r:id="rId6"/>
    <sheet name="С. Пол. 29" sheetId="7" r:id="rId7"/>
    <sheet name="С. Пол. 27 кор1" sheetId="8" r:id="rId8"/>
    <sheet name="С. Пол. 27 корп. 2" sheetId="9" r:id="rId9"/>
    <sheet name="С. Пол. 23а" sheetId="10" r:id="rId10"/>
    <sheet name="пример" sheetId="11" r:id="rId11"/>
    <sheet name="Лист24" sheetId="12" state="hidden" r:id="rId12"/>
    <sheet name="Лист25" sheetId="13" state="hidden" r:id="rId13"/>
  </sheets>
  <definedNames/>
  <calcPr fullCalcOnLoad="1"/>
</workbook>
</file>

<file path=xl/sharedStrings.xml><?xml version="1.0" encoding="utf-8"?>
<sst xmlns="http://schemas.openxmlformats.org/spreadsheetml/2006/main" count="603" uniqueCount="155">
  <si>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</si>
  <si>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В.Кащеевой, 2</t>
  </si>
  <si>
    <t>Характеристика МКД</t>
  </si>
  <si>
    <t>9 этажный панельный дом</t>
  </si>
  <si>
    <t>кол-во подъездов</t>
  </si>
  <si>
    <t>общая площадь помещений</t>
  </si>
  <si>
    <t>Задоженность (-), переплата (+) посостоянию на 01.01.2018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</si>
  <si>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</si>
  <si>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</si>
  <si>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</si>
  <si>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</si>
  <si>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</si>
  <si>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текущего содержания жилья (ТСЖ)</t>
  </si>
  <si>
    <t>За счет прочих средств (по предоставлению протокола собственников)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</si>
  <si>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</si>
  <si>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</si>
  <si>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</si>
  <si>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</si>
  <si>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</si>
  <si>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</si>
  <si>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</si>
  <si>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</si>
  <si>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</si>
  <si>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</si>
  <si>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</si>
  <si>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</si>
  <si>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</si>
  <si>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</si>
  <si>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</si>
  <si>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мусоростволов, мусорокамер 1промывка</t>
  </si>
  <si>
    <t>2.6</t>
  </si>
  <si>
    <t>Установка и обслуж. автоматизир.теплового пункта</t>
  </si>
  <si>
    <t>2.7</t>
  </si>
  <si>
    <t xml:space="preserve">Установка видеонаблюдения </t>
  </si>
  <si>
    <t>2.8</t>
  </si>
  <si>
    <t>Герметизация теплового ввода (гидрозатвор)</t>
  </si>
  <si>
    <t>2.9</t>
  </si>
  <si>
    <t>Ремонт межпанельных швов 20 м/п (по заявкам)</t>
  </si>
  <si>
    <t>2.10</t>
  </si>
  <si>
    <t>Сопротивление изоляции (замеры электробезопасности)</t>
  </si>
  <si>
    <t>2.11</t>
  </si>
  <si>
    <t>Ремонт кровли -40 м.кв. (по заявкам)</t>
  </si>
  <si>
    <t>2.12</t>
  </si>
  <si>
    <t>Установка энергосберегающего освещения в подъездах</t>
  </si>
  <si>
    <t>2.13</t>
  </si>
  <si>
    <t>Замена опорной арматуры (кран шар.,вентель,задвижка)</t>
  </si>
  <si>
    <t>2.14</t>
  </si>
  <si>
    <t>Изоляция (подготовка к зиме) 290м</t>
  </si>
  <si>
    <t>2.15</t>
  </si>
  <si>
    <t>Вознаграждение Совету дома</t>
  </si>
  <si>
    <t>2.16</t>
  </si>
  <si>
    <t>Ремонт (покраска) цоколя 200 м.кв.</t>
  </si>
  <si>
    <t>2.17</t>
  </si>
  <si>
    <t>Диагностика лифтов 4 шт.</t>
  </si>
  <si>
    <t>2.18</t>
  </si>
  <si>
    <t>Последиагностический ремонт лифтов 4 шт.</t>
  </si>
  <si>
    <t>Установка скамеек 4 шт.</t>
  </si>
  <si>
    <t>2.19</t>
  </si>
  <si>
    <t>Устранить спускники на трубопроводе ГВС до приборов</t>
  </si>
  <si>
    <t>2.20</t>
  </si>
  <si>
    <t>2.21</t>
  </si>
  <si>
    <t>2.22</t>
  </si>
  <si>
    <t>2.23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</si>
  <si>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</si>
  <si>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</si>
  <si>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</si>
  <si>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</si>
  <si>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</si>
  <si>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</si>
  <si>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</si>
  <si>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</si>
  <si>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</si>
  <si>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</si>
  <si>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</si>
  <si>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</si>
  <si>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ПроДвижение</t>
  </si>
  <si>
    <t>Оранжевый слон</t>
  </si>
  <si>
    <t>Провайдеры:</t>
  </si>
  <si>
    <t>Ростелеком</t>
  </si>
  <si>
    <t>650</t>
  </si>
  <si>
    <t>МТС</t>
  </si>
  <si>
    <t>ЗАО "ЗапсибТТК"</t>
  </si>
  <si>
    <t>Главный инженер ______________/_____________________________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</si>
  <si>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</si>
  <si>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</si>
  <si>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</si>
  <si>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</si>
  <si>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</si>
  <si>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</si>
  <si>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</si>
  <si>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</si>
  <si>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Дезинсекция подвального помещения</t>
  </si>
  <si>
    <t>Сборы за обслуживание системой "Город" и ООО "Вычислительный центр ЖКХ"  (0,9%)</t>
  </si>
  <si>
    <t>Обслуживанеие Банком (2,5%)</t>
  </si>
  <si>
    <t>Госпошлина</t>
  </si>
  <si>
    <t>Оплата председателю МКД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</si>
  <si>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</si>
  <si>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</si>
  <si>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</si>
  <si>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</si>
  <si>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</si>
  <si>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 xml:space="preserve">Госпошлина </t>
  </si>
  <si>
    <t xml:space="preserve">Ремонт кровли </t>
  </si>
  <si>
    <t>Ремонт входов</t>
  </si>
  <si>
    <t>3</t>
  </si>
  <si>
    <t>Ремонт подъездов</t>
  </si>
  <si>
    <t>4</t>
  </si>
  <si>
    <t>План работ и услуг по содержанию и ремонту общего имущества МКД на 2019 год по адресу:                                         Шукшина. 28</t>
  </si>
  <si>
    <t>10- этажный панельный дом</t>
  </si>
  <si>
    <t>Госпошлина ???????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</si>
  <si>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</si>
  <si>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</si>
  <si>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</si>
  <si>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</si>
  <si>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</si>
  <si>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</si>
  <si>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</si>
  <si>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 xml:space="preserve">План работ и услуг по содержанию и ремонту общего имущества МКД на 2020 год по адресу:    Монтажников   5                                                         </t>
  </si>
  <si>
    <t>Количество лифтов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</si>
  <si>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</si>
  <si>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</si>
  <si>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</si>
  <si>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</si>
  <si>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</si>
  <si>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</si>
  <si>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</si>
  <si>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</si>
  <si>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</si>
  <si>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</si>
  <si>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r>
      <t xml:space="preserve"> </t>
    </r>
    <r>
      <rPr>
        <b/>
        <i/>
        <sz val="14"/>
        <rFont val="Times New Roman"/>
        <family val="1"/>
      </rPr>
      <t xml:space="preserve">Текущий ремонт  общего имущества МКД </t>
    </r>
  </si>
  <si>
    <t>Запорная арматура</t>
  </si>
  <si>
    <t>Промывка, опрессовка ОС</t>
  </si>
  <si>
    <t>Ремонт кровли</t>
  </si>
  <si>
    <t>Итого работ по текущему ремонту</t>
  </si>
  <si>
    <t>Рекомендуемый тариф</t>
  </si>
  <si>
    <t>Экономия средств</t>
  </si>
  <si>
    <t>Теплоизоляция инженерных сетей</t>
  </si>
  <si>
    <t>2.5</t>
  </si>
  <si>
    <t>Ремонт межпанельных швов</t>
  </si>
  <si>
    <t>Ремонт козырьков вентшахт 18 шт.</t>
  </si>
  <si>
    <t>Ремонт отмостки 50 м2</t>
  </si>
  <si>
    <t>Установка квартироуказателей п.1-6</t>
  </si>
  <si>
    <t>Замена мусорных контейнеров 5 шт.</t>
  </si>
  <si>
    <t>3.0</t>
  </si>
  <si>
    <t>Диагностика лифтов п.1-6   90922,62</t>
  </si>
  <si>
    <t>Последиагностический ремонт лифта 180000,00</t>
  </si>
  <si>
    <t>Итого работ за счет экономии средств</t>
  </si>
  <si>
    <t>Продвижение</t>
  </si>
  <si>
    <t>Арендаторы</t>
  </si>
  <si>
    <t>ПАО "Ростелеком"</t>
  </si>
  <si>
    <t>ПАО "МТС"</t>
  </si>
  <si>
    <t>ОО "Дианет"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</si>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</sst>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33" applyFont="1" applyProtection="1">
      <alignment/>
      <protection/>
    </xf>
    <xf numFmtId="0" fontId="2" fillId="0" borderId="0" xfId="33" applyFont="1" applyBorder="1" applyProtection="1">
      <alignment/>
      <protection/>
    </xf>
    <xf numFmtId="0" fontId="1" fillId="0" borderId="0" xfId="33" applyProtection="1">
      <alignment/>
      <protection/>
    </xf>
    <xf numFmtId="0" fontId="4" fillId="0" borderId="0" xfId="33" applyFont="1" applyAlignment="1" applyProtection="1">
      <alignment horizontal="center"/>
      <protection/>
    </xf>
    <xf numFmtId="0" fontId="5" fillId="0" borderId="0" xfId="33" applyFont="1" applyAlignment="1" applyProtection="1">
      <alignment horizontal="center"/>
      <protection/>
    </xf>
    <xf numFmtId="49" fontId="6" fillId="0" borderId="10" xfId="33" applyNumberFormat="1" applyFont="1" applyBorder="1" applyAlignment="1" applyProtection="1">
      <alignment readingOrder="1"/>
      <protection/>
    </xf>
    <xf numFmtId="0" fontId="2" fillId="0" borderId="0" xfId="33" applyFont="1" applyBorder="1" applyAlignment="1" applyProtection="1">
      <alignment/>
      <protection/>
    </xf>
    <xf numFmtId="0" fontId="2" fillId="0" borderId="0" xfId="33" applyFont="1" applyBorder="1" applyAlignment="1" applyProtection="1">
      <alignment horizontal="left"/>
      <protection/>
    </xf>
    <xf numFmtId="49" fontId="6" fillId="0" borderId="11" xfId="33" applyNumberFormat="1" applyFont="1" applyBorder="1" applyAlignment="1" applyProtection="1">
      <alignment readingOrder="1"/>
      <protection/>
    </xf>
    <xf numFmtId="0" fontId="7" fillId="0" borderId="11" xfId="33" applyFont="1" applyBorder="1" applyAlignment="1" applyProtection="1">
      <alignment horizontal="left" vertical="center"/>
      <protection/>
    </xf>
    <xf numFmtId="0" fontId="7" fillId="0" borderId="0" xfId="33" applyFont="1" applyBorder="1" applyAlignment="1" applyProtection="1">
      <alignment horizontal="left" vertical="center"/>
      <protection/>
    </xf>
    <xf numFmtId="0" fontId="8" fillId="0" borderId="0" xfId="33" applyFont="1" applyFill="1" applyProtection="1">
      <alignment/>
      <protection/>
    </xf>
    <xf numFmtId="0" fontId="9" fillId="0" borderId="0" xfId="33" applyFont="1" applyProtection="1">
      <alignment/>
      <protection/>
    </xf>
    <xf numFmtId="0" fontId="12" fillId="0" borderId="12" xfId="33" applyFont="1" applyBorder="1" applyAlignment="1" applyProtection="1">
      <alignment horizontal="center" vertical="center" wrapText="1" readingOrder="1"/>
      <protection/>
    </xf>
    <xf numFmtId="0" fontId="13" fillId="0" borderId="12" xfId="33" applyFont="1" applyBorder="1" applyAlignment="1" applyProtection="1">
      <alignment horizontal="center" vertical="center" wrapText="1" readingOrder="1"/>
      <protection/>
    </xf>
    <xf numFmtId="49" fontId="14" fillId="0" borderId="13" xfId="33" applyNumberFormat="1" applyFont="1" applyBorder="1" applyProtection="1">
      <alignment/>
      <protection/>
    </xf>
    <xf numFmtId="0" fontId="15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/>
    </xf>
    <xf numFmtId="2" fontId="16" fillId="0" borderId="11" xfId="33" applyNumberFormat="1" applyFont="1" applyBorder="1" applyAlignment="1" applyProtection="1">
      <alignment horizontal="center" vertical="center"/>
      <protection locked="0"/>
    </xf>
    <xf numFmtId="49" fontId="10" fillId="0" borderId="11" xfId="33" applyNumberFormat="1" applyFont="1" applyBorder="1" applyAlignment="1" applyProtection="1">
      <alignment horizontal="left"/>
      <protection/>
    </xf>
    <xf numFmtId="49" fontId="16" fillId="0" borderId="13" xfId="33" applyNumberFormat="1" applyFont="1" applyBorder="1" applyAlignment="1" applyProtection="1">
      <alignment wrapText="1"/>
      <protection/>
    </xf>
    <xf numFmtId="0" fontId="17" fillId="0" borderId="11" xfId="33" applyFont="1" applyBorder="1" applyAlignment="1" applyProtection="1">
      <alignment horizontal="center" vertical="center"/>
      <protection locked="0"/>
    </xf>
    <xf numFmtId="49" fontId="14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/>
    </xf>
    <xf numFmtId="2" fontId="15" fillId="0" borderId="11" xfId="33" applyNumberFormat="1" applyFont="1" applyBorder="1" applyAlignment="1" applyProtection="1">
      <alignment horizontal="center"/>
      <protection locked="0"/>
    </xf>
    <xf numFmtId="49" fontId="14" fillId="0" borderId="11" xfId="33" applyNumberFormat="1" applyFont="1" applyBorder="1" applyProtection="1">
      <alignment/>
      <protection locked="0"/>
    </xf>
    <xf numFmtId="0" fontId="18" fillId="0" borderId="11" xfId="33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 locked="0"/>
    </xf>
    <xf numFmtId="0" fontId="19" fillId="0" borderId="0" xfId="33" applyFont="1" applyProtection="1">
      <alignment/>
      <protection/>
    </xf>
    <xf numFmtId="2" fontId="15" fillId="33" borderId="11" xfId="33" applyNumberFormat="1" applyFont="1" applyFill="1" applyBorder="1" applyAlignment="1" applyProtection="1">
      <alignment horizontal="center"/>
      <protection/>
    </xf>
    <xf numFmtId="49" fontId="14" fillId="0" borderId="11" xfId="33" applyNumberFormat="1" applyFont="1" applyBorder="1" applyAlignment="1" applyProtection="1">
      <alignment vertical="center"/>
      <protection locked="0"/>
    </xf>
    <xf numFmtId="49" fontId="15" fillId="0" borderId="11" xfId="33" applyNumberFormat="1" applyFont="1" applyBorder="1" applyAlignment="1" applyProtection="1">
      <alignment vertical="center" wrapText="1"/>
      <protection locked="0"/>
    </xf>
    <xf numFmtId="2" fontId="15" fillId="0" borderId="11" xfId="33" applyNumberFormat="1" applyFont="1" applyBorder="1" applyAlignment="1" applyProtection="1">
      <alignment horizontal="center" vertical="center"/>
      <protection/>
    </xf>
    <xf numFmtId="2" fontId="15" fillId="0" borderId="11" xfId="33" applyNumberFormat="1" applyFont="1" applyBorder="1" applyAlignment="1" applyProtection="1">
      <alignment horizontal="center" vertical="center"/>
      <protection locked="0"/>
    </xf>
    <xf numFmtId="2" fontId="15" fillId="33" borderId="11" xfId="33" applyNumberFormat="1" applyFont="1" applyFill="1" applyBorder="1" applyAlignment="1" applyProtection="1">
      <alignment horizontal="center" vertical="center"/>
      <protection/>
    </xf>
    <xf numFmtId="0" fontId="1" fillId="0" borderId="0" xfId="33" applyAlignment="1" applyProtection="1">
      <alignment vertical="center"/>
      <protection/>
    </xf>
    <xf numFmtId="49" fontId="10" fillId="0" borderId="11" xfId="33" applyNumberFormat="1" applyFont="1" applyBorder="1" applyProtection="1">
      <alignment/>
      <protection/>
    </xf>
    <xf numFmtId="164" fontId="16" fillId="0" borderId="11" xfId="33" applyNumberFormat="1" applyFont="1" applyBorder="1" applyAlignment="1" applyProtection="1">
      <alignment wrapText="1"/>
      <protection/>
    </xf>
    <xf numFmtId="2" fontId="16" fillId="0" borderId="14" xfId="33" applyNumberFormat="1" applyFont="1" applyFill="1" applyBorder="1" applyAlignment="1" applyProtection="1">
      <alignment horizontal="center"/>
      <protection/>
    </xf>
    <xf numFmtId="2" fontId="16" fillId="33" borderId="11" xfId="33" applyNumberFormat="1" applyFont="1" applyFill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20" fillId="0" borderId="11" xfId="33" applyNumberFormat="1" applyFont="1" applyBorder="1" applyAlignment="1" applyProtection="1">
      <alignment horizontal="center"/>
      <protection/>
    </xf>
    <xf numFmtId="0" fontId="1" fillId="0" borderId="11" xfId="33" applyBorder="1" applyAlignment="1" applyProtection="1">
      <alignment vertical="center"/>
      <protection locked="0"/>
    </xf>
    <xf numFmtId="2" fontId="16" fillId="0" borderId="11" xfId="33" applyNumberFormat="1" applyFont="1" applyFill="1" applyBorder="1" applyAlignment="1" applyProtection="1">
      <alignment horizontal="center"/>
      <protection/>
    </xf>
    <xf numFmtId="49" fontId="14" fillId="0" borderId="0" xfId="33" applyNumberFormat="1" applyFont="1" applyProtection="1">
      <alignment/>
      <protection/>
    </xf>
    <xf numFmtId="2" fontId="14" fillId="0" borderId="0" xfId="33" applyNumberFormat="1" applyFont="1" applyProtection="1">
      <alignment/>
      <protection/>
    </xf>
    <xf numFmtId="2" fontId="16" fillId="0" borderId="0" xfId="33" applyNumberFormat="1" applyFont="1" applyProtection="1">
      <alignment/>
      <protection/>
    </xf>
    <xf numFmtId="49" fontId="22" fillId="0" borderId="0" xfId="33" applyNumberFormat="1" applyFont="1" applyProtection="1">
      <alignment/>
      <protection/>
    </xf>
    <xf numFmtId="49" fontId="23" fillId="0" borderId="11" xfId="33" applyNumberFormat="1" applyFont="1" applyBorder="1" applyAlignment="1" applyProtection="1">
      <alignment wrapText="1"/>
      <protection/>
    </xf>
    <xf numFmtId="2" fontId="23" fillId="0" borderId="11" xfId="33" applyNumberFormat="1" applyFont="1" applyBorder="1" applyProtection="1">
      <alignment/>
      <protection/>
    </xf>
    <xf numFmtId="2" fontId="22" fillId="0" borderId="0" xfId="33" applyNumberFormat="1" applyFont="1" applyProtection="1">
      <alignment/>
      <protection/>
    </xf>
    <xf numFmtId="0" fontId="1" fillId="0" borderId="0" xfId="33" applyBorder="1" applyProtection="1">
      <alignment/>
      <protection/>
    </xf>
    <xf numFmtId="49" fontId="24" fillId="0" borderId="11" xfId="33" applyNumberFormat="1" applyFont="1" applyBorder="1" applyProtection="1">
      <alignment/>
      <protection/>
    </xf>
    <xf numFmtId="2" fontId="24" fillId="0" borderId="11" xfId="33" applyNumberFormat="1" applyFont="1" applyBorder="1" applyProtection="1">
      <alignment/>
      <protection/>
    </xf>
    <xf numFmtId="49" fontId="24" fillId="0" borderId="11" xfId="33" applyNumberFormat="1" applyFont="1" applyBorder="1" applyAlignment="1" applyProtection="1">
      <alignment wrapText="1"/>
      <protection/>
    </xf>
    <xf numFmtId="49" fontId="15" fillId="0" borderId="11" xfId="33" applyNumberFormat="1" applyFont="1" applyBorder="1" applyAlignment="1" applyProtection="1">
      <alignment horizontal="right"/>
      <protection/>
    </xf>
    <xf numFmtId="2" fontId="15" fillId="0" borderId="11" xfId="33" applyNumberFormat="1" applyFont="1" applyBorder="1" applyProtection="1">
      <alignment/>
      <protection/>
    </xf>
    <xf numFmtId="49" fontId="15" fillId="0" borderId="0" xfId="33" applyNumberFormat="1" applyFont="1" applyAlignment="1" applyProtection="1">
      <alignment horizontal="left"/>
      <protection/>
    </xf>
    <xf numFmtId="2" fontId="2" fillId="0" borderId="0" xfId="33" applyNumberFormat="1" applyFont="1" applyProtection="1">
      <alignment/>
      <protection/>
    </xf>
    <xf numFmtId="49" fontId="2" fillId="0" borderId="0" xfId="33" applyNumberFormat="1" applyFont="1" applyProtection="1">
      <alignment/>
      <protection/>
    </xf>
    <xf numFmtId="0" fontId="18" fillId="0" borderId="0" xfId="33" applyFont="1" applyProtection="1">
      <alignment/>
      <protection/>
    </xf>
    <xf numFmtId="0" fontId="18" fillId="0" borderId="0" xfId="33" applyFont="1" applyBorder="1" applyProtection="1">
      <alignment/>
      <protection/>
    </xf>
    <xf numFmtId="0" fontId="17" fillId="0" borderId="0" xfId="33" applyFont="1" applyProtection="1">
      <alignment/>
      <protection/>
    </xf>
    <xf numFmtId="0" fontId="11" fillId="0" borderId="0" xfId="33" applyFont="1" applyAlignment="1" applyProtection="1">
      <alignment horizontal="center"/>
      <protection/>
    </xf>
    <xf numFmtId="0" fontId="16" fillId="0" borderId="0" xfId="33" applyFont="1" applyAlignment="1" applyProtection="1">
      <alignment horizontal="center"/>
      <protection/>
    </xf>
    <xf numFmtId="49" fontId="11" fillId="0" borderId="10" xfId="33" applyNumberFormat="1" applyFont="1" applyBorder="1" applyAlignment="1" applyProtection="1">
      <alignment readingOrder="1"/>
      <protection/>
    </xf>
    <xf numFmtId="0" fontId="18" fillId="0" borderId="0" xfId="33" applyFont="1" applyBorder="1" applyAlignment="1" applyProtection="1">
      <alignment/>
      <protection/>
    </xf>
    <xf numFmtId="0" fontId="18" fillId="0" borderId="0" xfId="33" applyFont="1" applyBorder="1" applyAlignment="1" applyProtection="1">
      <alignment horizontal="left"/>
      <protection/>
    </xf>
    <xf numFmtId="49" fontId="11" fillId="0" borderId="11" xfId="33" applyNumberFormat="1" applyFont="1" applyBorder="1" applyAlignment="1" applyProtection="1">
      <alignment readingOrder="1"/>
      <protection/>
    </xf>
    <xf numFmtId="0" fontId="11" fillId="0" borderId="13" xfId="33" applyFont="1" applyBorder="1" applyAlignment="1" applyProtection="1">
      <alignment horizontal="left" readingOrder="1"/>
      <protection/>
    </xf>
    <xf numFmtId="0" fontId="18" fillId="0" borderId="15" xfId="33" applyFont="1" applyBorder="1" applyAlignment="1" applyProtection="1">
      <alignment horizontal="left"/>
      <protection/>
    </xf>
    <xf numFmtId="0" fontId="18" fillId="0" borderId="16" xfId="33" applyFont="1" applyBorder="1" applyAlignment="1" applyProtection="1">
      <alignment horizontal="left"/>
      <protection/>
    </xf>
    <xf numFmtId="0" fontId="11" fillId="0" borderId="11" xfId="33" applyFont="1" applyBorder="1" applyAlignment="1" applyProtection="1">
      <alignment horizontal="left" vertical="center" wrapText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0" fontId="11" fillId="0" borderId="0" xfId="33" applyFont="1" applyBorder="1" applyAlignment="1" applyProtection="1">
      <alignment horizontal="left" vertical="center"/>
      <protection/>
    </xf>
    <xf numFmtId="0" fontId="11" fillId="0" borderId="11" xfId="33" applyFont="1" applyBorder="1" applyAlignment="1" applyProtection="1">
      <alignment horizontal="left" vertical="center"/>
      <protection/>
    </xf>
    <xf numFmtId="2" fontId="11" fillId="0" borderId="13" xfId="33" applyNumberFormat="1" applyFont="1" applyBorder="1" applyAlignment="1" applyProtection="1">
      <alignment horizontal="left" vertical="center"/>
      <protection/>
    </xf>
    <xf numFmtId="2" fontId="11" fillId="0" borderId="15" xfId="33" applyNumberFormat="1" applyFont="1" applyBorder="1" applyAlignment="1" applyProtection="1">
      <alignment horizontal="left" vertical="center"/>
      <protection/>
    </xf>
    <xf numFmtId="2" fontId="11" fillId="0" borderId="16" xfId="33" applyNumberFormat="1" applyFont="1" applyBorder="1" applyAlignment="1" applyProtection="1">
      <alignment horizontal="left" vertical="center"/>
      <protection/>
    </xf>
    <xf numFmtId="0" fontId="15" fillId="0" borderId="11" xfId="33" applyFont="1" applyFill="1" applyBorder="1" applyProtection="1">
      <alignment/>
      <protection/>
    </xf>
    <xf numFmtId="2" fontId="18" fillId="0" borderId="11" xfId="33" applyNumberFormat="1" applyFont="1" applyBorder="1" applyAlignment="1" applyProtection="1">
      <alignment horizontal="left"/>
      <protection/>
    </xf>
    <xf numFmtId="0" fontId="25" fillId="0" borderId="11" xfId="33" applyFont="1" applyBorder="1" applyProtection="1">
      <alignment/>
      <protection/>
    </xf>
    <xf numFmtId="0" fontId="25" fillId="0" borderId="11" xfId="33" applyFont="1" applyBorder="1" applyAlignment="1" applyProtection="1">
      <alignment horizontal="left"/>
      <protection/>
    </xf>
    <xf numFmtId="49" fontId="16" fillId="0" borderId="10" xfId="33" applyNumberFormat="1" applyFont="1" applyBorder="1" applyAlignment="1" applyProtection="1">
      <alignment horizontal="center"/>
      <protection/>
    </xf>
    <xf numFmtId="0" fontId="15" fillId="0" borderId="17" xfId="33" applyFont="1" applyBorder="1" applyAlignment="1" applyProtection="1">
      <alignment horizontal="center"/>
      <protection/>
    </xf>
    <xf numFmtId="0" fontId="15" fillId="0" borderId="15" xfId="33" applyFont="1" applyBorder="1" applyAlignment="1" applyProtection="1">
      <alignment horizontal="center"/>
      <protection/>
    </xf>
    <xf numFmtId="0" fontId="18" fillId="0" borderId="15" xfId="33" applyFont="1" applyBorder="1" applyAlignment="1" applyProtection="1">
      <alignment/>
      <protection/>
    </xf>
    <xf numFmtId="0" fontId="18" fillId="0" borderId="17" xfId="33" applyFont="1" applyBorder="1" applyAlignment="1" applyProtection="1">
      <alignment/>
      <protection/>
    </xf>
    <xf numFmtId="0" fontId="20" fillId="0" borderId="12" xfId="33" applyFont="1" applyBorder="1" applyAlignment="1" applyProtection="1">
      <alignment horizontal="center" vertical="center" wrapText="1" readingOrder="1"/>
      <protection/>
    </xf>
    <xf numFmtId="49" fontId="15" fillId="0" borderId="13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 locked="0"/>
    </xf>
    <xf numFmtId="0" fontId="26" fillId="0" borderId="0" xfId="33" applyFont="1" applyProtection="1">
      <alignment/>
      <protection/>
    </xf>
    <xf numFmtId="49" fontId="15" fillId="0" borderId="11" xfId="33" applyNumberFormat="1" applyFont="1" applyBorder="1" applyAlignment="1" applyProtection="1">
      <alignment vertical="center"/>
      <protection locked="0"/>
    </xf>
    <xf numFmtId="0" fontId="17" fillId="0" borderId="0" xfId="33" applyFont="1" applyAlignment="1" applyProtection="1">
      <alignment vertical="center"/>
      <protection/>
    </xf>
    <xf numFmtId="49" fontId="16" fillId="0" borderId="11" xfId="33" applyNumberFormat="1" applyFont="1" applyBorder="1" applyProtection="1">
      <alignment/>
      <protection locked="0"/>
    </xf>
    <xf numFmtId="2" fontId="16" fillId="0" borderId="11" xfId="33" applyNumberFormat="1" applyFont="1" applyBorder="1" applyAlignment="1" applyProtection="1">
      <alignment horizontal="center"/>
      <protection locked="0"/>
    </xf>
    <xf numFmtId="0" fontId="27" fillId="0" borderId="0" xfId="33" applyFont="1" applyProtection="1">
      <alignment/>
      <protection/>
    </xf>
    <xf numFmtId="49" fontId="15" fillId="34" borderId="11" xfId="33" applyNumberFormat="1" applyFont="1" applyFill="1" applyBorder="1" applyAlignment="1" applyProtection="1">
      <alignment wrapText="1"/>
      <protection locked="0"/>
    </xf>
    <xf numFmtId="2" fontId="15" fillId="34" borderId="11" xfId="33" applyNumberFormat="1" applyFont="1" applyFill="1" applyBorder="1" applyAlignment="1" applyProtection="1">
      <alignment horizontal="center"/>
      <protection/>
    </xf>
    <xf numFmtId="49" fontId="16" fillId="0" borderId="11" xfId="33" applyNumberFormat="1" applyFont="1" applyBorder="1" applyProtection="1">
      <alignment/>
      <protection/>
    </xf>
    <xf numFmtId="0" fontId="17" fillId="0" borderId="11" xfId="33" applyFont="1" applyBorder="1" applyAlignment="1" applyProtection="1">
      <alignment vertical="center"/>
      <protection locked="0"/>
    </xf>
    <xf numFmtId="49" fontId="15" fillId="0" borderId="0" xfId="33" applyNumberFormat="1" applyFont="1" applyProtection="1">
      <alignment/>
      <protection/>
    </xf>
    <xf numFmtId="2" fontId="15" fillId="0" borderId="0" xfId="33" applyNumberFormat="1" applyFont="1" applyProtection="1">
      <alignment/>
      <protection/>
    </xf>
    <xf numFmtId="49" fontId="24" fillId="0" borderId="0" xfId="33" applyNumberFormat="1" applyFont="1" applyProtection="1">
      <alignment/>
      <protection/>
    </xf>
    <xf numFmtId="2" fontId="16" fillId="0" borderId="11" xfId="33" applyNumberFormat="1" applyFont="1" applyBorder="1" applyProtection="1">
      <alignment/>
      <protection/>
    </xf>
    <xf numFmtId="2" fontId="24" fillId="0" borderId="0" xfId="33" applyNumberFormat="1" applyFont="1" applyProtection="1">
      <alignment/>
      <protection/>
    </xf>
    <xf numFmtId="0" fontId="17" fillId="0" borderId="0" xfId="33" applyFont="1" applyBorder="1" applyProtection="1">
      <alignment/>
      <protection/>
    </xf>
    <xf numFmtId="2" fontId="18" fillId="0" borderId="0" xfId="33" applyNumberFormat="1" applyFont="1" applyProtection="1">
      <alignment/>
      <protection/>
    </xf>
    <xf numFmtId="49" fontId="18" fillId="0" borderId="0" xfId="33" applyNumberFormat="1" applyFont="1" applyProtection="1">
      <alignment/>
      <protection/>
    </xf>
    <xf numFmtId="49" fontId="10" fillId="0" borderId="10" xfId="33" applyNumberFormat="1" applyFont="1" applyBorder="1" applyAlignment="1" applyProtection="1">
      <alignment horizontal="center"/>
      <protection/>
    </xf>
    <xf numFmtId="0" fontId="14" fillId="0" borderId="17" xfId="33" applyFont="1" applyBorder="1" applyAlignment="1" applyProtection="1">
      <alignment horizontal="center"/>
      <protection/>
    </xf>
    <xf numFmtId="0" fontId="14" fillId="0" borderId="15" xfId="33" applyFont="1" applyBorder="1" applyAlignment="1" applyProtection="1">
      <alignment horizontal="center"/>
      <protection/>
    </xf>
    <xf numFmtId="0" fontId="2" fillId="0" borderId="15" xfId="33" applyFont="1" applyBorder="1" applyAlignment="1" applyProtection="1">
      <alignment/>
      <protection/>
    </xf>
    <xf numFmtId="0" fontId="2" fillId="0" borderId="17" xfId="33" applyFont="1" applyBorder="1" applyAlignment="1" applyProtection="1">
      <alignment/>
      <protection/>
    </xf>
    <xf numFmtId="49" fontId="10" fillId="0" borderId="11" xfId="33" applyNumberFormat="1" applyFont="1" applyBorder="1" applyProtection="1">
      <alignment/>
      <protection locked="0"/>
    </xf>
    <xf numFmtId="0" fontId="28" fillId="0" borderId="0" xfId="33" applyFont="1" applyProtection="1">
      <alignment/>
      <protection/>
    </xf>
    <xf numFmtId="2" fontId="11" fillId="33" borderId="13" xfId="33" applyNumberFormat="1" applyFont="1" applyFill="1" applyBorder="1" applyAlignment="1" applyProtection="1">
      <alignment horizontal="left" vertical="center"/>
      <protection/>
    </xf>
    <xf numFmtId="1" fontId="11" fillId="0" borderId="11" xfId="33" applyNumberFormat="1" applyFont="1" applyBorder="1" applyAlignment="1" applyProtection="1">
      <alignment horizontal="left" vertical="center"/>
      <protection/>
    </xf>
    <xf numFmtId="49" fontId="16" fillId="34" borderId="11" xfId="33" applyNumberFormat="1" applyFont="1" applyFill="1" applyBorder="1" applyAlignment="1" applyProtection="1">
      <alignment wrapText="1"/>
      <protection locked="0"/>
    </xf>
    <xf numFmtId="2" fontId="16" fillId="34" borderId="11" xfId="33" applyNumberFormat="1" applyFont="1" applyFill="1" applyBorder="1" applyAlignment="1" applyProtection="1">
      <alignment horizontal="center"/>
      <protection/>
    </xf>
    <xf numFmtId="49" fontId="15" fillId="33" borderId="11" xfId="33" applyNumberFormat="1" applyFont="1" applyFill="1" applyBorder="1" applyProtection="1">
      <alignment/>
      <protection locked="0"/>
    </xf>
    <xf numFmtId="2" fontId="15" fillId="33" borderId="11" xfId="33" applyNumberFormat="1" applyFont="1" applyFill="1" applyBorder="1" applyAlignment="1" applyProtection="1">
      <alignment horizontal="center"/>
      <protection locked="0"/>
    </xf>
    <xf numFmtId="49" fontId="15" fillId="33" borderId="11" xfId="33" applyNumberFormat="1" applyFont="1" applyFill="1" applyBorder="1" applyAlignment="1" applyProtection="1">
      <alignment wrapText="1"/>
      <protection locked="0"/>
    </xf>
    <xf numFmtId="2" fontId="15" fillId="0" borderId="11" xfId="33" applyNumberFormat="1" applyFont="1" applyBorder="1" applyAlignment="1" applyProtection="1">
      <alignment horizontal="right"/>
      <protection/>
    </xf>
    <xf numFmtId="0" fontId="1" fillId="0" borderId="0" xfId="33">
      <alignment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49" fontId="21" fillId="0" borderId="0" xfId="33" applyNumberFormat="1" applyFont="1" applyBorder="1" applyAlignment="1" applyProtection="1">
      <alignment horizontal="center"/>
      <protection/>
    </xf>
    <xf numFmtId="49" fontId="10" fillId="0" borderId="13" xfId="33" applyNumberFormat="1" applyFont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horizontal="center" vertical="center"/>
      <protection/>
    </xf>
    <xf numFmtId="49" fontId="11" fillId="0" borderId="11" xfId="33" applyNumberFormat="1" applyFont="1" applyBorder="1" applyAlignment="1" applyProtection="1">
      <alignment horizontal="center" vertical="center" wrapText="1" readingOrder="1"/>
      <protection/>
    </xf>
    <xf numFmtId="0" fontId="12" fillId="0" borderId="11" xfId="33" applyFont="1" applyBorder="1" applyAlignment="1" applyProtection="1">
      <alignment horizontal="center" vertical="center" wrapText="1" readingOrder="1"/>
      <protection/>
    </xf>
    <xf numFmtId="0" fontId="12" fillId="0" borderId="11" xfId="33" applyFont="1" applyFill="1" applyBorder="1" applyAlignment="1" applyProtection="1">
      <alignment horizontal="center" vertical="center" wrapText="1" readingOrder="1"/>
      <protection locked="0"/>
    </xf>
    <xf numFmtId="0" fontId="3" fillId="0" borderId="0" xfId="33" applyFont="1" applyBorder="1" applyAlignment="1" applyProtection="1">
      <alignment horizontal="right"/>
      <protection/>
    </xf>
    <xf numFmtId="0" fontId="4" fillId="0" borderId="0" xfId="33" applyFont="1" applyBorder="1" applyAlignment="1" applyProtection="1">
      <alignment horizontal="center" wrapText="1"/>
      <protection/>
    </xf>
    <xf numFmtId="0" fontId="6" fillId="0" borderId="11" xfId="33" applyFont="1" applyBorder="1" applyAlignment="1" applyProtection="1">
      <alignment readingOrder="1"/>
      <protection/>
    </xf>
    <xf numFmtId="0" fontId="6" fillId="0" borderId="11" xfId="33" applyFont="1" applyBorder="1" applyAlignment="1" applyProtection="1">
      <alignment horizontal="left" readingOrder="1"/>
      <protection/>
    </xf>
    <xf numFmtId="2" fontId="7" fillId="0" borderId="11" xfId="33" applyNumberFormat="1" applyFont="1" applyBorder="1" applyAlignment="1" applyProtection="1">
      <alignment horizontal="left" vertical="center"/>
      <protection/>
    </xf>
    <xf numFmtId="49" fontId="16" fillId="0" borderId="0" xfId="33" applyNumberFormat="1" applyFont="1" applyBorder="1" applyAlignment="1" applyProtection="1">
      <alignment horizontal="center"/>
      <protection/>
    </xf>
    <xf numFmtId="2" fontId="24" fillId="0" borderId="12" xfId="33" applyNumberFormat="1" applyFont="1" applyBorder="1" applyAlignment="1" applyProtection="1">
      <alignment/>
      <protection/>
    </xf>
    <xf numFmtId="2" fontId="16" fillId="0" borderId="18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horizontal="center"/>
      <protection/>
    </xf>
    <xf numFmtId="49" fontId="16" fillId="0" borderId="11" xfId="33" applyNumberFormat="1" applyFont="1" applyBorder="1" applyAlignment="1" applyProtection="1">
      <alignment horizontal="center" vertical="center"/>
      <protection/>
    </xf>
    <xf numFmtId="0" fontId="20" fillId="0" borderId="11" xfId="33" applyFont="1" applyBorder="1" applyAlignment="1" applyProtection="1">
      <alignment horizontal="center" vertical="center" wrapText="1" readingOrder="1"/>
      <protection/>
    </xf>
    <xf numFmtId="0" fontId="20" fillId="0" borderId="11" xfId="33" applyFont="1" applyFill="1" applyBorder="1" applyAlignment="1" applyProtection="1">
      <alignment horizontal="center" vertical="center" wrapText="1" readingOrder="1"/>
      <protection locked="0"/>
    </xf>
    <xf numFmtId="0" fontId="18" fillId="0" borderId="0" xfId="33" applyFont="1" applyBorder="1" applyAlignment="1" applyProtection="1">
      <alignment horizontal="right"/>
      <protection/>
    </xf>
    <xf numFmtId="0" fontId="11" fillId="0" borderId="0" xfId="33" applyFont="1" applyBorder="1" applyAlignment="1" applyProtection="1">
      <alignment horizontal="center" wrapText="1"/>
      <protection/>
    </xf>
    <xf numFmtId="0" fontId="11" fillId="0" borderId="11" xfId="33" applyFont="1" applyBorder="1" applyAlignment="1" applyProtection="1">
      <alignment readingOrder="1"/>
      <protection/>
    </xf>
    <xf numFmtId="0" fontId="11" fillId="0" borderId="11" xfId="33" applyFont="1" applyBorder="1" applyAlignment="1" applyProtection="1">
      <alignment horizontal="left" readingOrder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2" fontId="22" fillId="0" borderId="12" xfId="33" applyNumberFormat="1" applyFont="1" applyBorder="1" applyAlignment="1" applyProtection="1">
      <alignment/>
      <protection/>
    </xf>
    <xf numFmtId="2" fontId="29" fillId="0" borderId="18" xfId="33" applyNumberFormat="1" applyFont="1" applyBorder="1" applyAlignment="1" applyProtection="1">
      <alignment wrapText="1"/>
      <protection/>
    </xf>
    <xf numFmtId="49" fontId="10" fillId="0" borderId="11" xfId="33" applyNumberFormat="1" applyFont="1" applyBorder="1" applyAlignment="1" applyProtection="1">
      <alignment horizontal="center"/>
      <protection/>
    </xf>
    <xf numFmtId="0" fontId="11" fillId="0" borderId="11" xfId="33" applyFont="1" applyBorder="1" applyAlignment="1" applyProtection="1">
      <alignment horizontal="left" vertical="center"/>
      <protection/>
    </xf>
    <xf numFmtId="2" fontId="15" fillId="0" borderId="11" xfId="33" applyNumberFormat="1" applyFont="1" applyBorder="1" applyAlignment="1" applyProtection="1">
      <alignment horizontal="center"/>
      <protection locked="0"/>
    </xf>
    <xf numFmtId="49" fontId="16" fillId="0" borderId="11" xfId="33" applyNumberFormat="1" applyFont="1" applyBorder="1" applyAlignment="1" applyProtection="1">
      <alignment horizontal="center"/>
      <protection locked="0"/>
    </xf>
    <xf numFmtId="49" fontId="15" fillId="0" borderId="11" xfId="33" applyNumberFormat="1" applyFont="1" applyBorder="1" applyAlignment="1" applyProtection="1">
      <alignment horizontal="center" vertical="center" wrapText="1"/>
      <protection locked="0"/>
    </xf>
    <xf numFmtId="2" fontId="15" fillId="0" borderId="11" xfId="33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1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3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1" name="Text Box 1"/>
        <xdr:cNvSpPr>
          <a:spLocks/>
        </xdr:cNvSpPr>
      </xdr:nvSpPr>
      <xdr:spPr>
        <a:xfrm>
          <a:off x="5553075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10600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3" name="Text Box 1"/>
        <xdr:cNvSpPr>
          <a:spLocks/>
        </xdr:cNvSpPr>
      </xdr:nvSpPr>
      <xdr:spPr>
        <a:xfrm>
          <a:off x="5553075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10600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2.75"/>
  <cols>
    <col min="1" max="1" width="5.00390625" style="1" customWidth="1"/>
    <col min="2" max="2" width="66.140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7" t="s">
        <v>0</v>
      </c>
      <c r="F1" s="137"/>
      <c r="G1" s="137"/>
    </row>
    <row r="2" spans="1:7" ht="30" customHeight="1">
      <c r="A2" s="138" t="s">
        <v>1</v>
      </c>
      <c r="B2" s="138"/>
      <c r="C2" s="138"/>
      <c r="D2" s="138"/>
      <c r="E2" s="138"/>
      <c r="F2" s="138"/>
      <c r="G2" s="138"/>
    </row>
    <row r="3" spans="2:6" ht="15.75">
      <c r="B3" s="4"/>
      <c r="C3" s="5"/>
      <c r="D3" s="5"/>
      <c r="E3" s="5"/>
      <c r="F3" s="5"/>
    </row>
    <row r="4" spans="2:6" ht="15">
      <c r="B4" s="6" t="s">
        <v>2</v>
      </c>
      <c r="C4" s="139" t="s">
        <v>3</v>
      </c>
      <c r="D4" s="139"/>
      <c r="E4" s="139"/>
      <c r="F4" s="7"/>
    </row>
    <row r="5" spans="2:6" ht="15">
      <c r="B5" s="6" t="s">
        <v>4</v>
      </c>
      <c r="C5" s="140">
        <v>4</v>
      </c>
      <c r="D5" s="140"/>
      <c r="E5" s="140"/>
      <c r="F5" s="8"/>
    </row>
    <row r="6" spans="2:6" ht="15">
      <c r="B6" s="9" t="s">
        <v>5</v>
      </c>
      <c r="C6" s="140">
        <v>7505.5</v>
      </c>
      <c r="D6" s="140"/>
      <c r="E6" s="140"/>
      <c r="F6" s="8"/>
    </row>
    <row r="7" spans="2:6" ht="18.75" customHeight="1">
      <c r="B7" s="10" t="s">
        <v>6</v>
      </c>
      <c r="C7" s="141">
        <v>64200</v>
      </c>
      <c r="D7" s="141"/>
      <c r="E7" s="141"/>
      <c r="F7" s="11"/>
    </row>
    <row r="8" spans="2:4" ht="15">
      <c r="B8" s="12"/>
      <c r="D8" s="13">
        <v>9</v>
      </c>
    </row>
    <row r="9" spans="1:7" ht="15">
      <c r="A9" s="132" t="s">
        <v>7</v>
      </c>
      <c r="B9" s="132"/>
      <c r="C9" s="132"/>
      <c r="D9" s="132"/>
      <c r="E9" s="132"/>
      <c r="F9" s="132"/>
      <c r="G9" s="132"/>
    </row>
    <row r="10" spans="1:7" ht="65.25" customHeight="1">
      <c r="A10" s="133" t="s">
        <v>8</v>
      </c>
      <c r="B10" s="134" t="s">
        <v>9</v>
      </c>
      <c r="C10" s="135" t="s">
        <v>10</v>
      </c>
      <c r="D10" s="135" t="s">
        <v>11</v>
      </c>
      <c r="E10" s="135"/>
      <c r="F10" s="135" t="s">
        <v>12</v>
      </c>
      <c r="G10" s="136" t="s">
        <v>13</v>
      </c>
    </row>
    <row r="11" spans="1:7" ht="45" customHeight="1">
      <c r="A11" s="133"/>
      <c r="B11" s="134"/>
      <c r="C11" s="135"/>
      <c r="D11" s="14" t="s">
        <v>14</v>
      </c>
      <c r="E11" s="15" t="s">
        <v>15</v>
      </c>
      <c r="F11" s="135"/>
      <c r="G11" s="136"/>
    </row>
    <row r="12" spans="1:7" ht="27" customHeight="1">
      <c r="A12" s="16" t="s">
        <v>16</v>
      </c>
      <c r="B12" s="17" t="s">
        <v>17</v>
      </c>
      <c r="C12" s="18">
        <f>D12*C6</f>
        <v>34825.52</v>
      </c>
      <c r="D12" s="18">
        <v>4.64</v>
      </c>
      <c r="E12" s="19">
        <f>C12*12</f>
        <v>417906.24</v>
      </c>
      <c r="F12" s="19">
        <f>C12*12</f>
        <v>417906.24</v>
      </c>
      <c r="G12" s="20"/>
    </row>
    <row r="13" spans="1:7" ht="24" customHeight="1">
      <c r="A13" s="21" t="s">
        <v>18</v>
      </c>
      <c r="B13" s="22" t="s">
        <v>19</v>
      </c>
      <c r="C13" s="19"/>
      <c r="D13" s="19"/>
      <c r="E13" s="19"/>
      <c r="F13" s="19"/>
      <c r="G13" s="23"/>
    </row>
    <row r="14" spans="1:7" ht="18.75">
      <c r="A14" s="24" t="s">
        <v>20</v>
      </c>
      <c r="B14" s="25" t="s">
        <v>21</v>
      </c>
      <c r="C14" s="19">
        <f>0.47*C6</f>
        <v>3527.585</v>
      </c>
      <c r="D14" s="19">
        <v>0.47</v>
      </c>
      <c r="E14" s="19">
        <f>C14*12</f>
        <v>42331.020000000004</v>
      </c>
      <c r="F14" s="19">
        <f>C14*12</f>
        <v>42331.020000000004</v>
      </c>
      <c r="G14" s="26"/>
    </row>
    <row r="15" spans="1:7" ht="19.5" customHeight="1">
      <c r="A15" s="24" t="s">
        <v>22</v>
      </c>
      <c r="B15" s="25" t="s">
        <v>23</v>
      </c>
      <c r="C15" s="19">
        <v>1350</v>
      </c>
      <c r="D15" s="19">
        <f>C15/C6</f>
        <v>0.17986809672906534</v>
      </c>
      <c r="E15" s="19">
        <f>C15*12</f>
        <v>16200</v>
      </c>
      <c r="F15" s="19">
        <f>C15*12</f>
        <v>16200</v>
      </c>
      <c r="G15" s="26"/>
    </row>
    <row r="16" spans="1:7" ht="19.5" customHeight="1">
      <c r="A16" s="27" t="s">
        <v>24</v>
      </c>
      <c r="B16" s="28" t="s">
        <v>25</v>
      </c>
      <c r="C16" s="19">
        <f aca="true" t="shared" si="0" ref="C16:C34">E16/12</f>
        <v>111</v>
      </c>
      <c r="D16" s="19">
        <f>C16/C6</f>
        <v>0.014789154619945373</v>
      </c>
      <c r="E16" s="26">
        <v>1332</v>
      </c>
      <c r="F16" s="19">
        <v>1332</v>
      </c>
      <c r="G16" s="26"/>
    </row>
    <row r="17" spans="1:7" ht="18.75">
      <c r="A17" s="27" t="s">
        <v>26</v>
      </c>
      <c r="B17" s="29" t="s">
        <v>27</v>
      </c>
      <c r="C17" s="19">
        <f t="shared" si="0"/>
        <v>143.1</v>
      </c>
      <c r="D17" s="19">
        <f>C17/C6</f>
        <v>0.019066018253280928</v>
      </c>
      <c r="E17" s="19">
        <v>1717.2</v>
      </c>
      <c r="F17" s="19">
        <v>1717.2</v>
      </c>
      <c r="G17" s="26"/>
    </row>
    <row r="18" spans="1:7" ht="16.5" customHeight="1">
      <c r="A18" s="27" t="s">
        <v>28</v>
      </c>
      <c r="B18" s="29" t="s">
        <v>29</v>
      </c>
      <c r="C18" s="19">
        <f t="shared" si="0"/>
        <v>2000</v>
      </c>
      <c r="D18" s="19">
        <f>C18/C6</f>
        <v>0.26647125441343017</v>
      </c>
      <c r="E18" s="19">
        <v>24000</v>
      </c>
      <c r="F18" s="19">
        <v>24000</v>
      </c>
      <c r="G18" s="26"/>
    </row>
    <row r="19" spans="1:7" ht="18.75">
      <c r="A19" s="27" t="s">
        <v>30</v>
      </c>
      <c r="B19" s="29" t="s">
        <v>31</v>
      </c>
      <c r="C19" s="19">
        <f t="shared" si="0"/>
        <v>30000</v>
      </c>
      <c r="D19" s="19">
        <f>C19/C6</f>
        <v>3.9970688162014523</v>
      </c>
      <c r="E19" s="26">
        <v>360000</v>
      </c>
      <c r="F19" s="19">
        <v>0</v>
      </c>
      <c r="G19" s="26">
        <v>360000</v>
      </c>
    </row>
    <row r="20" spans="1:7" s="30" customFormat="1" ht="18.75">
      <c r="A20" s="27" t="s">
        <v>32</v>
      </c>
      <c r="B20" s="29" t="s">
        <v>33</v>
      </c>
      <c r="C20" s="19">
        <f t="shared" si="0"/>
        <v>7000</v>
      </c>
      <c r="D20" s="19">
        <f>C20/C6</f>
        <v>0.9326493904470056</v>
      </c>
      <c r="E20" s="26">
        <v>84000</v>
      </c>
      <c r="F20" s="19">
        <v>0</v>
      </c>
      <c r="G20" s="26">
        <v>84000</v>
      </c>
    </row>
    <row r="21" spans="1:7" ht="18.75">
      <c r="A21" s="27" t="s">
        <v>34</v>
      </c>
      <c r="B21" s="29" t="s">
        <v>35</v>
      </c>
      <c r="C21" s="19">
        <f t="shared" si="0"/>
        <v>1250</v>
      </c>
      <c r="D21" s="19">
        <f>C21/C6</f>
        <v>0.16654453400839384</v>
      </c>
      <c r="E21" s="26">
        <v>15000</v>
      </c>
      <c r="F21" s="31">
        <v>15000</v>
      </c>
      <c r="G21" s="26"/>
    </row>
    <row r="22" spans="1:7" s="30" customFormat="1" ht="21" customHeight="1">
      <c r="A22" s="27" t="s">
        <v>36</v>
      </c>
      <c r="B22" s="29" t="s">
        <v>37</v>
      </c>
      <c r="C22" s="19">
        <f t="shared" si="0"/>
        <v>666.6666666666666</v>
      </c>
      <c r="D22" s="19">
        <f>C22/C6</f>
        <v>0.08882375147114338</v>
      </c>
      <c r="E22" s="26">
        <v>8000</v>
      </c>
      <c r="F22" s="19">
        <v>8000</v>
      </c>
      <c r="G22" s="26"/>
    </row>
    <row r="23" spans="1:7" s="37" customFormat="1" ht="20.25" customHeight="1">
      <c r="A23" s="32" t="s">
        <v>38</v>
      </c>
      <c r="B23" s="33" t="s">
        <v>39</v>
      </c>
      <c r="C23" s="34">
        <f t="shared" si="0"/>
        <v>515</v>
      </c>
      <c r="D23" s="34">
        <f>C23/C6</f>
        <v>0.06861634801145826</v>
      </c>
      <c r="E23" s="35">
        <v>6180</v>
      </c>
      <c r="F23" s="36">
        <v>6180</v>
      </c>
      <c r="G23" s="35"/>
    </row>
    <row r="24" spans="1:7" ht="18.75">
      <c r="A24" s="27" t="s">
        <v>40</v>
      </c>
      <c r="B24" s="29" t="s">
        <v>41</v>
      </c>
      <c r="C24" s="19">
        <f t="shared" si="0"/>
        <v>3000</v>
      </c>
      <c r="D24" s="19">
        <f>C24/C6</f>
        <v>0.3997068816201452</v>
      </c>
      <c r="E24" s="26">
        <v>36000</v>
      </c>
      <c r="F24" s="19">
        <v>36000</v>
      </c>
      <c r="G24" s="26"/>
    </row>
    <row r="25" spans="1:7" ht="18.75">
      <c r="A25" s="27" t="s">
        <v>42</v>
      </c>
      <c r="B25" s="28" t="s">
        <v>43</v>
      </c>
      <c r="C25" s="19">
        <f t="shared" si="0"/>
        <v>5000</v>
      </c>
      <c r="D25" s="19">
        <f>C25/C6</f>
        <v>0.6661781360335753</v>
      </c>
      <c r="E25" s="19">
        <v>60000</v>
      </c>
      <c r="F25" s="19">
        <v>0</v>
      </c>
      <c r="G25" s="26">
        <v>60000</v>
      </c>
    </row>
    <row r="26" spans="1:7" s="30" customFormat="1" ht="19.5" customHeight="1">
      <c r="A26" s="27" t="s">
        <v>44</v>
      </c>
      <c r="B26" s="29" t="s">
        <v>45</v>
      </c>
      <c r="C26" s="19">
        <f t="shared" si="0"/>
        <v>3750</v>
      </c>
      <c r="D26" s="19">
        <f>C26/C6</f>
        <v>0.49963360202518153</v>
      </c>
      <c r="E26" s="26">
        <v>45000</v>
      </c>
      <c r="F26" s="26">
        <v>45000</v>
      </c>
      <c r="G26" s="26"/>
    </row>
    <row r="27" spans="1:7" ht="18.75">
      <c r="A27" s="27" t="s">
        <v>46</v>
      </c>
      <c r="B27" s="29" t="s">
        <v>47</v>
      </c>
      <c r="C27" s="19">
        <f t="shared" si="0"/>
        <v>4583.333333333333</v>
      </c>
      <c r="D27" s="19">
        <f>C27/C6</f>
        <v>0.6106632913641107</v>
      </c>
      <c r="E27" s="19">
        <v>55000</v>
      </c>
      <c r="F27" s="19">
        <v>55000</v>
      </c>
      <c r="G27" s="26"/>
    </row>
    <row r="28" spans="1:7" ht="18.75">
      <c r="A28" s="27" t="s">
        <v>48</v>
      </c>
      <c r="B28" s="29" t="s">
        <v>49</v>
      </c>
      <c r="C28" s="19">
        <f t="shared" si="0"/>
        <v>3750</v>
      </c>
      <c r="D28" s="19">
        <f>C28/C6</f>
        <v>0.49963360202518153</v>
      </c>
      <c r="E28" s="26">
        <v>45000</v>
      </c>
      <c r="F28" s="26">
        <v>45000</v>
      </c>
      <c r="G28" s="26"/>
    </row>
    <row r="29" spans="1:7" ht="18.75">
      <c r="A29" s="27" t="s">
        <v>50</v>
      </c>
      <c r="B29" s="29" t="s">
        <v>51</v>
      </c>
      <c r="C29" s="19">
        <f t="shared" si="0"/>
        <v>1666.6666666666667</v>
      </c>
      <c r="D29" s="19">
        <f>C29/C6</f>
        <v>0.22205937867785847</v>
      </c>
      <c r="E29" s="26">
        <v>20000</v>
      </c>
      <c r="F29" s="26">
        <v>20000</v>
      </c>
      <c r="G29" s="26"/>
    </row>
    <row r="30" spans="1:7" ht="18.75">
      <c r="A30" s="27" t="s">
        <v>52</v>
      </c>
      <c r="B30" s="29" t="s">
        <v>53</v>
      </c>
      <c r="C30" s="19">
        <f t="shared" si="0"/>
        <v>5066.666666666667</v>
      </c>
      <c r="D30" s="19">
        <f>C30/C6</f>
        <v>0.6750605111806898</v>
      </c>
      <c r="E30" s="26">
        <v>60800</v>
      </c>
      <c r="F30" s="26">
        <v>0</v>
      </c>
      <c r="G30" s="26">
        <v>60800</v>
      </c>
    </row>
    <row r="31" spans="1:7" ht="18.75">
      <c r="A31" s="27" t="s">
        <v>54</v>
      </c>
      <c r="B31" s="29" t="s">
        <v>55</v>
      </c>
      <c r="C31" s="19">
        <f t="shared" si="0"/>
        <v>5066.666666666667</v>
      </c>
      <c r="D31" s="19">
        <f>C31/C$6</f>
        <v>0.6750605111806898</v>
      </c>
      <c r="E31" s="26">
        <v>60800</v>
      </c>
      <c r="F31" s="26">
        <v>0</v>
      </c>
      <c r="G31" s="26">
        <v>60800</v>
      </c>
    </row>
    <row r="32" spans="1:7" ht="18.75">
      <c r="A32" s="27" t="s">
        <v>54</v>
      </c>
      <c r="B32" s="29" t="s">
        <v>56</v>
      </c>
      <c r="C32" s="19">
        <f t="shared" si="0"/>
        <v>666.6666666666666</v>
      </c>
      <c r="D32" s="19">
        <v>1.07</v>
      </c>
      <c r="E32" s="26">
        <v>8000</v>
      </c>
      <c r="F32" s="26">
        <v>8000</v>
      </c>
      <c r="G32" s="26"/>
    </row>
    <row r="33" spans="1:7" ht="19.5" customHeight="1">
      <c r="A33" s="27" t="s">
        <v>57</v>
      </c>
      <c r="B33" s="29" t="s">
        <v>58</v>
      </c>
      <c r="C33" s="19">
        <f t="shared" si="0"/>
        <v>291.6666666666667</v>
      </c>
      <c r="D33" s="19">
        <v>0.47</v>
      </c>
      <c r="E33" s="26">
        <v>3500</v>
      </c>
      <c r="F33" s="26">
        <v>3500</v>
      </c>
      <c r="G33" s="26"/>
    </row>
    <row r="34" spans="1:7" ht="18.75">
      <c r="A34" s="27" t="s">
        <v>59</v>
      </c>
      <c r="B34" s="29"/>
      <c r="C34" s="19">
        <f t="shared" si="0"/>
        <v>0</v>
      </c>
      <c r="D34" s="19"/>
      <c r="E34" s="26"/>
      <c r="F34" s="26"/>
      <c r="G34" s="26"/>
    </row>
    <row r="35" spans="1:7" ht="18.75">
      <c r="A35" s="27" t="s">
        <v>60</v>
      </c>
      <c r="B35" s="29"/>
      <c r="C35" s="19"/>
      <c r="D35" s="19"/>
      <c r="E35" s="26"/>
      <c r="F35" s="26"/>
      <c r="G35" s="26"/>
    </row>
    <row r="36" spans="1:7" ht="18.75">
      <c r="A36" s="27" t="s">
        <v>61</v>
      </c>
      <c r="B36" s="29"/>
      <c r="C36" s="19"/>
      <c r="D36" s="19"/>
      <c r="E36" s="26"/>
      <c r="F36" s="26"/>
      <c r="G36" s="26"/>
    </row>
    <row r="37" spans="1:7" ht="18.75">
      <c r="A37" s="27" t="s">
        <v>62</v>
      </c>
      <c r="B37" s="29"/>
      <c r="C37" s="19">
        <f>E37/12</f>
        <v>0</v>
      </c>
      <c r="D37" s="19">
        <f>C37/C$6</f>
        <v>0</v>
      </c>
      <c r="E37" s="26"/>
      <c r="F37" s="26"/>
      <c r="G37" s="26"/>
    </row>
    <row r="38" spans="1:7" ht="18.75">
      <c r="A38" s="24"/>
      <c r="B38" s="25" t="s">
        <v>63</v>
      </c>
      <c r="C38" s="18">
        <f>SUM(C14:C37)</f>
        <v>79405.01833333336</v>
      </c>
      <c r="D38" s="18">
        <f>SUM(D14:D37)</f>
        <v>11.991893278262607</v>
      </c>
      <c r="E38" s="18">
        <f>SUM(E14:E37)</f>
        <v>952860.22</v>
      </c>
      <c r="F38" s="18">
        <f>SUM(F14:F37)</f>
        <v>327260.22</v>
      </c>
      <c r="G38" s="18">
        <f>SUM(G14:G37)</f>
        <v>625600</v>
      </c>
    </row>
    <row r="39" spans="1:7" ht="18.75">
      <c r="A39" s="27"/>
      <c r="B39" s="29" t="s">
        <v>64</v>
      </c>
      <c r="C39" s="19"/>
      <c r="D39" s="19">
        <f>D30+D29+D28+D27+D26+D25+D24+D22+D21+D20+D19+D17+D16+D15+D14+D23</f>
        <v>9.510361512668487</v>
      </c>
      <c r="E39" s="26"/>
      <c r="F39" s="26">
        <f>(F31+F32+F33+F30+F29+F28+F27+F26+F25+F24+F23+F22+F21+F20+F19+F18+F17+F16+F15+F14)/12/C6</f>
        <v>3.633560055958964</v>
      </c>
      <c r="G39" s="26">
        <f>(G31+G32+G33+G30+G29+G28+G27+G26+G25+G24+G23+G22+G21+G20+G19+G18+G17+G16+G15+G14)/12/C6</f>
        <v>6.946017365043413</v>
      </c>
    </row>
    <row r="40" spans="1:7" ht="37.5">
      <c r="A40" s="38" t="s">
        <v>65</v>
      </c>
      <c r="B40" s="39" t="s">
        <v>66</v>
      </c>
      <c r="C40" s="18">
        <f>D40*C6</f>
        <v>21812.982585744146</v>
      </c>
      <c r="D40" s="40">
        <f>F40/F39*D39</f>
        <v>2.906266416060775</v>
      </c>
      <c r="E40" s="41">
        <f>C40*12</f>
        <v>261755.79102892976</v>
      </c>
      <c r="F40" s="40">
        <f>D8*0.12+C48*0.12/C6</f>
        <v>1.110377723003131</v>
      </c>
      <c r="G40" s="40">
        <f>F40/F39*G39</f>
        <v>2.122629825008242</v>
      </c>
    </row>
    <row r="41" spans="1:7" ht="37.5">
      <c r="A41" s="42" t="s">
        <v>67</v>
      </c>
      <c r="B41" s="43" t="s">
        <v>68</v>
      </c>
      <c r="C41" s="18">
        <f>D41*C6</f>
        <v>6011.263134120792</v>
      </c>
      <c r="D41" s="18">
        <f>F41/F39*D39</f>
        <v>0.8009144139791875</v>
      </c>
      <c r="E41" s="41">
        <f>C41*12</f>
        <v>72135.1576094495</v>
      </c>
      <c r="F41" s="18">
        <f>D8*0.034</f>
        <v>0.30600000000000005</v>
      </c>
      <c r="G41" s="18">
        <f>F41/F39*G39</f>
        <v>0.5849583551584729</v>
      </c>
    </row>
    <row r="42" spans="1:7" ht="56.25">
      <c r="A42" s="42" t="s">
        <v>69</v>
      </c>
      <c r="B42" s="43" t="s">
        <v>70</v>
      </c>
      <c r="C42" s="44">
        <v>0</v>
      </c>
      <c r="D42" s="19">
        <f>C42/C6</f>
        <v>0</v>
      </c>
      <c r="E42" s="44">
        <f>C42*12</f>
        <v>0</v>
      </c>
      <c r="F42" s="44"/>
      <c r="G42" s="45"/>
    </row>
    <row r="43" spans="1:7" ht="18.75">
      <c r="A43" s="24"/>
      <c r="B43" s="43" t="s">
        <v>71</v>
      </c>
      <c r="C43" s="18"/>
      <c r="D43" s="18">
        <f>D41+D40+D38+D12+D42</f>
        <v>20.33907410830257</v>
      </c>
      <c r="E43" s="18"/>
      <c r="F43" s="18">
        <f>(F38+F12)/12/C6+F40+F41</f>
        <v>9.689937778962094</v>
      </c>
      <c r="G43" s="18">
        <f>(G38+G12)/12/C6+G40+G41</f>
        <v>9.653605545210128</v>
      </c>
    </row>
    <row r="44" spans="1:7" ht="18.75" customHeight="1">
      <c r="A44" s="24"/>
      <c r="B44" s="129" t="s">
        <v>72</v>
      </c>
      <c r="C44" s="129"/>
      <c r="D44" s="130">
        <f>D43-(C7/12/C6+(D46)/C6)</f>
        <v>19.403493534057016</v>
      </c>
      <c r="E44" s="130"/>
      <c r="F44" s="46">
        <f>F43-(C7+D46*12)/12/C6</f>
        <v>8.75435720471654</v>
      </c>
      <c r="G44" s="18"/>
    </row>
    <row r="45" spans="1:6" ht="15">
      <c r="A45" s="47"/>
      <c r="B45" s="47"/>
      <c r="C45" s="48"/>
      <c r="D45" s="48"/>
      <c r="E45" s="48"/>
      <c r="F45" s="48"/>
    </row>
    <row r="46" spans="1:4" ht="20.25">
      <c r="A46" s="47"/>
      <c r="B46" s="131" t="s">
        <v>73</v>
      </c>
      <c r="C46" s="131"/>
      <c r="D46" s="49">
        <f>C48/100*88</f>
        <v>1672</v>
      </c>
    </row>
    <row r="47" spans="1:6" ht="15">
      <c r="A47" s="47"/>
      <c r="B47" s="47"/>
      <c r="C47" s="48"/>
      <c r="D47" s="48"/>
      <c r="E47" s="48"/>
      <c r="F47" s="48"/>
    </row>
    <row r="48" spans="1:7" ht="18">
      <c r="A48" s="50"/>
      <c r="B48" s="51" t="s">
        <v>74</v>
      </c>
      <c r="C48" s="52">
        <v>1900</v>
      </c>
      <c r="D48" s="53"/>
      <c r="E48" s="53"/>
      <c r="F48" s="53"/>
      <c r="G48" s="54"/>
    </row>
    <row r="49" spans="1:7" ht="18">
      <c r="A49" s="50"/>
      <c r="B49" s="55" t="s">
        <v>75</v>
      </c>
      <c r="C49" s="56">
        <v>200</v>
      </c>
      <c r="D49" s="53"/>
      <c r="E49" s="53"/>
      <c r="F49" s="53"/>
      <c r="G49" s="54"/>
    </row>
    <row r="50" spans="1:7" ht="18">
      <c r="A50" s="50"/>
      <c r="B50" s="57" t="s">
        <v>76</v>
      </c>
      <c r="C50" s="56">
        <v>200</v>
      </c>
      <c r="D50" s="53"/>
      <c r="E50" s="53"/>
      <c r="F50" s="53"/>
      <c r="G50" s="54"/>
    </row>
    <row r="51" spans="1:7" ht="18">
      <c r="A51" s="50"/>
      <c r="B51" s="51" t="s">
        <v>77</v>
      </c>
      <c r="C51" s="56"/>
      <c r="D51" s="53"/>
      <c r="E51" s="53"/>
      <c r="F51" s="53"/>
      <c r="G51" s="54"/>
    </row>
    <row r="52" spans="1:7" ht="18.75">
      <c r="A52" s="50"/>
      <c r="B52" s="57" t="s">
        <v>78</v>
      </c>
      <c r="C52" s="58" t="s">
        <v>79</v>
      </c>
      <c r="D52" s="53"/>
      <c r="E52" s="53"/>
      <c r="F52" s="53"/>
      <c r="G52" s="54"/>
    </row>
    <row r="53" spans="1:7" ht="18.75">
      <c r="A53" s="50"/>
      <c r="B53" s="57" t="s">
        <v>80</v>
      </c>
      <c r="C53" s="59">
        <v>350</v>
      </c>
      <c r="D53" s="53"/>
      <c r="E53" s="53"/>
      <c r="F53" s="53"/>
      <c r="G53" s="54"/>
    </row>
    <row r="54" spans="1:7" ht="18.75">
      <c r="A54" s="50"/>
      <c r="B54" s="57" t="s">
        <v>81</v>
      </c>
      <c r="C54" s="59">
        <v>500</v>
      </c>
      <c r="D54" s="53"/>
      <c r="E54" s="53"/>
      <c r="F54" s="53"/>
      <c r="G54" s="54"/>
    </row>
    <row r="55" spans="1:7" ht="15">
      <c r="A55" s="50"/>
      <c r="B55" s="53"/>
      <c r="C55" s="53"/>
      <c r="D55" s="53"/>
      <c r="E55" s="54"/>
      <c r="F55" s="3"/>
      <c r="G55" s="3"/>
    </row>
    <row r="56" spans="1:7" ht="15">
      <c r="A56" s="50"/>
      <c r="B56" s="53"/>
      <c r="C56" s="53"/>
      <c r="D56" s="53"/>
      <c r="E56" s="54"/>
      <c r="F56" s="3"/>
      <c r="G56" s="3"/>
    </row>
    <row r="57" spans="1:7" ht="15">
      <c r="A57" s="50"/>
      <c r="B57" s="53"/>
      <c r="C57" s="53"/>
      <c r="D57" s="53"/>
      <c r="E57" s="54"/>
      <c r="F57" s="3"/>
      <c r="G57" s="3"/>
    </row>
    <row r="58" spans="1:7" ht="48.75" customHeight="1">
      <c r="A58" s="60" t="s">
        <v>82</v>
      </c>
      <c r="B58" s="60"/>
      <c r="C58" s="61"/>
      <c r="D58" s="60"/>
      <c r="E58" s="53"/>
      <c r="F58" s="53"/>
      <c r="G58" s="54"/>
    </row>
    <row r="59" spans="1:6" ht="15">
      <c r="A59" s="47"/>
      <c r="B59" s="47"/>
      <c r="C59" s="61"/>
      <c r="D59" s="48"/>
      <c r="E59" s="48"/>
      <c r="F59" s="48"/>
    </row>
    <row r="60" spans="1:6" ht="15">
      <c r="A60" s="62"/>
      <c r="B60" s="62"/>
      <c r="C60" s="61"/>
      <c r="D60" s="61"/>
      <c r="E60" s="61"/>
      <c r="F60" s="61"/>
    </row>
    <row r="61" spans="1:6" ht="15">
      <c r="A61" s="62"/>
      <c r="B61" s="62"/>
      <c r="C61" s="61"/>
      <c r="D61" s="61"/>
      <c r="E61" s="61"/>
      <c r="F61" s="61"/>
    </row>
    <row r="62" spans="1:6" ht="15">
      <c r="A62" s="62"/>
      <c r="B62" s="62"/>
      <c r="C62" s="61"/>
      <c r="D62" s="61"/>
      <c r="E62" s="61"/>
      <c r="F62" s="61"/>
    </row>
    <row r="63" spans="1:6" ht="15">
      <c r="A63" s="62"/>
      <c r="B63" s="62"/>
      <c r="C63" s="61"/>
      <c r="D63" s="61"/>
      <c r="E63" s="61"/>
      <c r="F63" s="61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ht="15">
      <c r="A69" s="62"/>
      <c r="B69" s="62"/>
      <c r="C69" s="61"/>
      <c r="D69" s="61"/>
      <c r="E69" s="61"/>
      <c r="F69" s="61"/>
    </row>
    <row r="70" spans="1:6" ht="15">
      <c r="A70" s="62"/>
      <c r="B70" s="62"/>
      <c r="C70" s="61"/>
      <c r="D70" s="61"/>
      <c r="E70" s="61"/>
      <c r="F70" s="61"/>
    </row>
    <row r="71" spans="3:6" ht="15">
      <c r="C71" s="61"/>
      <c r="D71" s="61"/>
      <c r="E71" s="61"/>
      <c r="F71" s="61"/>
    </row>
    <row r="72" spans="3:6" ht="15">
      <c r="C72" s="61"/>
      <c r="D72" s="61"/>
      <c r="E72" s="61"/>
      <c r="F72" s="61"/>
    </row>
    <row r="73" spans="3:6" ht="15">
      <c r="C73" s="61"/>
      <c r="D73" s="61"/>
      <c r="E73" s="61"/>
      <c r="F73" s="61"/>
    </row>
    <row r="74" spans="3:6" ht="15">
      <c r="C74" s="61"/>
      <c r="D74" s="61"/>
      <c r="E74" s="61"/>
      <c r="F74" s="61"/>
    </row>
    <row r="75" spans="3:6" ht="15">
      <c r="C75" s="61"/>
      <c r="D75" s="61"/>
      <c r="E75" s="61"/>
      <c r="F75" s="61"/>
    </row>
    <row r="76" spans="3:6" ht="15">
      <c r="C76" s="61"/>
      <c r="D76" s="61"/>
      <c r="E76" s="61"/>
      <c r="F76" s="61"/>
    </row>
    <row r="77" spans="3:6" ht="15">
      <c r="C77" s="61"/>
      <c r="D77" s="61"/>
      <c r="E77" s="61"/>
      <c r="F77" s="61"/>
    </row>
    <row r="78" spans="3:6" ht="15">
      <c r="C78" s="61"/>
      <c r="D78" s="61"/>
      <c r="E78" s="61"/>
      <c r="F78" s="61"/>
    </row>
    <row r="79" spans="3:6" ht="15">
      <c r="C79" s="61"/>
      <c r="D79" s="61"/>
      <c r="E79" s="61"/>
      <c r="F79" s="61"/>
    </row>
    <row r="80" spans="3:6" ht="15">
      <c r="C80" s="61"/>
      <c r="D80" s="61"/>
      <c r="E80" s="61"/>
      <c r="F80" s="61"/>
    </row>
    <row r="81" spans="3:6" ht="15">
      <c r="C81" s="61"/>
      <c r="D81" s="61"/>
      <c r="E81" s="61"/>
      <c r="F81" s="61"/>
    </row>
    <row r="82" spans="3:6" ht="15">
      <c r="C82" s="61"/>
      <c r="D82" s="61"/>
      <c r="E82" s="61"/>
      <c r="F82" s="61"/>
    </row>
    <row r="83" spans="3:6" ht="15">
      <c r="C83" s="61"/>
      <c r="D83" s="61"/>
      <c r="E83" s="61"/>
      <c r="F83" s="61"/>
    </row>
    <row r="84" spans="3:6" ht="15">
      <c r="C84" s="61"/>
      <c r="D84" s="61"/>
      <c r="E84" s="61"/>
      <c r="F84" s="61"/>
    </row>
    <row r="85" spans="3:6" ht="15">
      <c r="C85" s="61"/>
      <c r="D85" s="61"/>
      <c r="E85" s="61"/>
      <c r="F85" s="61"/>
    </row>
    <row r="86" spans="3:6" ht="15">
      <c r="C86" s="61"/>
      <c r="D86" s="61"/>
      <c r="E86" s="61"/>
      <c r="F86" s="61"/>
    </row>
    <row r="87" spans="3:6" ht="15">
      <c r="C87" s="61"/>
      <c r="D87" s="61"/>
      <c r="E87" s="61"/>
      <c r="F87" s="61"/>
    </row>
    <row r="88" spans="3:6" ht="15">
      <c r="C88" s="61"/>
      <c r="D88" s="61"/>
      <c r="E88" s="61"/>
      <c r="F88" s="61"/>
    </row>
    <row r="89" spans="3:6" ht="15">
      <c r="C89" s="61"/>
      <c r="D89" s="61"/>
      <c r="E89" s="61"/>
      <c r="F89" s="61"/>
    </row>
    <row r="90" spans="3:6" ht="15">
      <c r="C90" s="61"/>
      <c r="D90" s="61"/>
      <c r="E90" s="61"/>
      <c r="F90" s="61"/>
    </row>
    <row r="91" spans="3:6" ht="15">
      <c r="C91" s="61"/>
      <c r="D91" s="61"/>
      <c r="E91" s="61"/>
      <c r="F91" s="61"/>
    </row>
    <row r="92" spans="3:6" ht="15">
      <c r="C92" s="61"/>
      <c r="D92" s="61"/>
      <c r="E92" s="61"/>
      <c r="F92" s="61"/>
    </row>
    <row r="93" spans="3:6" ht="15">
      <c r="C93" s="61"/>
      <c r="D93" s="61"/>
      <c r="E93" s="61"/>
      <c r="F93" s="61"/>
    </row>
    <row r="94" spans="3:6" ht="15">
      <c r="C94" s="61"/>
      <c r="D94" s="61"/>
      <c r="E94" s="61"/>
      <c r="F94" s="61"/>
    </row>
    <row r="95" spans="3:6" ht="15">
      <c r="C95" s="61"/>
      <c r="D95" s="61"/>
      <c r="E95" s="61"/>
      <c r="F95" s="61"/>
    </row>
    <row r="96" spans="3:6" ht="15">
      <c r="C96" s="61"/>
      <c r="D96" s="61"/>
      <c r="E96" s="61"/>
      <c r="F96" s="61"/>
    </row>
    <row r="97" spans="3:6" ht="15">
      <c r="C97" s="61"/>
      <c r="D97" s="61"/>
      <c r="E97" s="61"/>
      <c r="F97" s="61"/>
    </row>
    <row r="98" spans="3:6" ht="15">
      <c r="C98" s="61"/>
      <c r="D98" s="61"/>
      <c r="E98" s="61"/>
      <c r="F98" s="61"/>
    </row>
    <row r="99" spans="3:6" ht="15">
      <c r="C99" s="61"/>
      <c r="D99" s="61"/>
      <c r="E99" s="61"/>
      <c r="F99" s="61"/>
    </row>
    <row r="100" spans="3:6" ht="15">
      <c r="C100" s="61"/>
      <c r="D100" s="61"/>
      <c r="E100" s="61"/>
      <c r="F100" s="61"/>
    </row>
    <row r="101" spans="3:6" ht="15">
      <c r="C101" s="61"/>
      <c r="D101" s="61"/>
      <c r="E101" s="61"/>
      <c r="F101" s="61"/>
    </row>
    <row r="102" spans="4:6" ht="15">
      <c r="D102" s="61"/>
      <c r="E102" s="61"/>
      <c r="F102" s="61"/>
    </row>
    <row r="103" spans="4:6" ht="15">
      <c r="D103" s="61"/>
      <c r="E103" s="61"/>
      <c r="F103" s="61"/>
    </row>
    <row r="104" spans="4:6" ht="15">
      <c r="D104" s="61"/>
      <c r="E104" s="61"/>
      <c r="F104" s="61"/>
    </row>
    <row r="105" spans="4:6" ht="15">
      <c r="D105" s="61"/>
      <c r="E105" s="61"/>
      <c r="F105" s="61"/>
    </row>
    <row r="106" spans="4:6" ht="15">
      <c r="D106" s="61"/>
      <c r="E106" s="61"/>
      <c r="F106" s="61"/>
    </row>
  </sheetData>
  <sheetProtection selectLockedCells="1" selectUnlockedCells="1"/>
  <mergeCells count="16">
    <mergeCell ref="E1:G1"/>
    <mergeCell ref="A2:G2"/>
    <mergeCell ref="C4:E4"/>
    <mergeCell ref="C5:E5"/>
    <mergeCell ref="C6:E6"/>
    <mergeCell ref="C7:E7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9" t="s">
        <v>0</v>
      </c>
      <c r="F1" s="149"/>
      <c r="G1" s="149"/>
    </row>
    <row r="2" spans="1:7" ht="39.75" customHeight="1">
      <c r="A2" s="150" t="s">
        <v>115</v>
      </c>
      <c r="B2" s="150"/>
      <c r="C2" s="150"/>
      <c r="D2" s="150"/>
      <c r="E2" s="150"/>
      <c r="F2" s="150"/>
      <c r="G2" s="15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1" t="s">
        <v>116</v>
      </c>
      <c r="D4" s="151"/>
      <c r="E4" s="151"/>
      <c r="F4" s="69"/>
    </row>
    <row r="5" spans="2:6" ht="19.5">
      <c r="B5" s="68" t="s">
        <v>4</v>
      </c>
      <c r="C5" s="152">
        <v>6</v>
      </c>
      <c r="D5" s="152"/>
      <c r="E5" s="152"/>
      <c r="F5" s="70"/>
    </row>
    <row r="6" spans="2:6" ht="19.5">
      <c r="B6" s="71" t="s">
        <v>5</v>
      </c>
      <c r="C6" s="152">
        <v>3926.2</v>
      </c>
      <c r="D6" s="152"/>
      <c r="E6" s="152"/>
      <c r="F6" s="70"/>
    </row>
    <row r="7" spans="2:6" ht="19.5">
      <c r="B7" s="71" t="s">
        <v>85</v>
      </c>
      <c r="C7" s="72">
        <v>1250</v>
      </c>
      <c r="D7" s="73"/>
      <c r="E7" s="74"/>
      <c r="F7" s="70"/>
    </row>
    <row r="8" spans="2:6" ht="39">
      <c r="B8" s="75" t="s">
        <v>86</v>
      </c>
      <c r="C8" s="153"/>
      <c r="D8" s="153"/>
      <c r="E8" s="153"/>
      <c r="F8" s="77"/>
    </row>
    <row r="9" spans="2:6" ht="19.5">
      <c r="B9" s="78" t="s">
        <v>87</v>
      </c>
      <c r="C9" s="79">
        <v>404667.58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447586.80000000005</v>
      </c>
      <c r="D12" s="84">
        <f>C12/12</f>
        <v>37298.9</v>
      </c>
      <c r="E12" s="28"/>
    </row>
    <row r="13" spans="1:7" ht="18.75">
      <c r="A13" s="145"/>
      <c r="B13" s="145"/>
      <c r="C13" s="145"/>
      <c r="D13" s="145"/>
      <c r="E13" s="145"/>
      <c r="F13" s="145"/>
      <c r="G13" s="145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6" t="s">
        <v>8</v>
      </c>
      <c r="B15" s="134" t="s">
        <v>9</v>
      </c>
      <c r="C15" s="147" t="s">
        <v>10</v>
      </c>
      <c r="D15" s="147" t="s">
        <v>11</v>
      </c>
      <c r="E15" s="147"/>
      <c r="F15" s="147" t="s">
        <v>12</v>
      </c>
      <c r="G15" s="148" t="s">
        <v>13</v>
      </c>
    </row>
    <row r="16" spans="1:7" ht="75">
      <c r="A16" s="146"/>
      <c r="B16" s="134"/>
      <c r="C16" s="147"/>
      <c r="D16" s="91" t="s">
        <v>14</v>
      </c>
      <c r="E16" s="91" t="s">
        <v>15</v>
      </c>
      <c r="F16" s="147"/>
      <c r="G16" s="148"/>
    </row>
    <row r="17" spans="1:7" ht="18.75">
      <c r="A17" s="92" t="s">
        <v>16</v>
      </c>
      <c r="B17" s="17" t="s">
        <v>17</v>
      </c>
      <c r="C17" s="19">
        <f>D17*C6</f>
        <v>18217.568</v>
      </c>
      <c r="D17" s="19">
        <v>4.64</v>
      </c>
      <c r="E17" s="19">
        <f>C17*12</f>
        <v>218610.816</v>
      </c>
      <c r="F17" s="19">
        <f aca="true" t="shared" si="0" ref="F17:F27">C17*12</f>
        <v>218610.816</v>
      </c>
      <c r="G17" s="20"/>
    </row>
    <row r="18" spans="1:7" ht="18.75">
      <c r="A18" s="93" t="s">
        <v>20</v>
      </c>
      <c r="B18" s="25" t="s">
        <v>21</v>
      </c>
      <c r="C18" s="19">
        <f>0.47*C6</f>
        <v>1845.314</v>
      </c>
      <c r="D18" s="19">
        <v>0.47</v>
      </c>
      <c r="E18" s="19">
        <f>C18*12</f>
        <v>22143.768</v>
      </c>
      <c r="F18" s="19">
        <f t="shared" si="0"/>
        <v>22143.768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0.3438439203300902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0.02827161122714075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244.79166666666666</v>
      </c>
      <c r="D21" s="19">
        <f>C21/C6</f>
        <v>0.06234824172652098</v>
      </c>
      <c r="E21" s="19">
        <f>C7*2.35</f>
        <v>2937.5</v>
      </c>
      <c r="F21" s="19">
        <f t="shared" si="0"/>
        <v>2937.5</v>
      </c>
      <c r="G21" s="26"/>
    </row>
    <row r="22" spans="1:7" ht="18.75">
      <c r="A22" s="94" t="s">
        <v>28</v>
      </c>
      <c r="B22" s="29" t="s">
        <v>91</v>
      </c>
      <c r="C22" s="19">
        <f>E22/12</f>
        <v>168.75000000000003</v>
      </c>
      <c r="D22" s="19">
        <f>C22/C7</f>
        <v>0.135</v>
      </c>
      <c r="E22" s="19">
        <f>C7*1.62</f>
        <v>2025.0000000000002</v>
      </c>
      <c r="F22" s="19">
        <f t="shared" si="0"/>
        <v>2025.0000000000005</v>
      </c>
      <c r="G22" s="26"/>
    </row>
    <row r="23" spans="1:7" s="95" customFormat="1" ht="18.75">
      <c r="A23" s="94"/>
      <c r="B23" s="29" t="s">
        <v>66</v>
      </c>
      <c r="C23" s="19">
        <f>C12*0.12/12</f>
        <v>4475.868</v>
      </c>
      <c r="D23" s="19">
        <f>C23/C6</f>
        <v>1.1400000000000001</v>
      </c>
      <c r="E23" s="26">
        <f>C12*0.12</f>
        <v>53710.416000000005</v>
      </c>
      <c r="F23" s="19">
        <f t="shared" si="0"/>
        <v>53710.416000000005</v>
      </c>
      <c r="G23" s="26"/>
    </row>
    <row r="24" spans="1:7" ht="37.5">
      <c r="A24" s="94"/>
      <c r="B24" s="29" t="s">
        <v>92</v>
      </c>
      <c r="C24" s="19">
        <f>C12*0.009/12</f>
        <v>335.6901000000001</v>
      </c>
      <c r="D24" s="19">
        <f>C24/C6</f>
        <v>0.08550000000000002</v>
      </c>
      <c r="E24" s="26">
        <f>C12*0.009</f>
        <v>4028.281200000001</v>
      </c>
      <c r="F24" s="19">
        <f t="shared" si="0"/>
        <v>4028.2812000000013</v>
      </c>
      <c r="G24" s="26"/>
    </row>
    <row r="25" spans="1:7" s="95" customFormat="1" ht="18.75">
      <c r="A25" s="94"/>
      <c r="B25" s="29" t="s">
        <v>93</v>
      </c>
      <c r="C25" s="19">
        <f>C12*0.025/12</f>
        <v>932.4725000000002</v>
      </c>
      <c r="D25" s="19">
        <f>C25/C6</f>
        <v>0.23750000000000007</v>
      </c>
      <c r="E25" s="26">
        <f>C25*12</f>
        <v>11189.670000000002</v>
      </c>
      <c r="F25" s="19">
        <f t="shared" si="0"/>
        <v>11189.670000000002</v>
      </c>
      <c r="G25" s="26"/>
    </row>
    <row r="26" spans="1:7" s="97" customFormat="1" ht="18.75">
      <c r="A26" s="96"/>
      <c r="B26" s="33" t="s">
        <v>94</v>
      </c>
      <c r="C26" s="34">
        <f>E26/12</f>
        <v>337.2229833333334</v>
      </c>
      <c r="D26" s="34">
        <f>E26/C6/12</f>
        <v>0.08589042415906815</v>
      </c>
      <c r="E26" s="35">
        <f>C9*0.01</f>
        <v>4046.6758000000004</v>
      </c>
      <c r="F26" s="19">
        <f t="shared" si="0"/>
        <v>4046.675800000001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0.9557842188375528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31771.277249999996</v>
      </c>
      <c r="D28" s="18">
        <f>SUM(D17:D27)</f>
        <v>8.184138416280371</v>
      </c>
      <c r="E28" s="18">
        <f>SUM(E17:E27)</f>
        <v>381255.3270000001</v>
      </c>
      <c r="F28" s="18">
        <f>SUM(F17:F27)</f>
        <v>381255.3270000001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5166.3357500000075</v>
      </c>
      <c r="D31" s="102">
        <f>C31/C6</f>
        <v>1.315861583719629</v>
      </c>
      <c r="E31" s="102">
        <f>C31*12</f>
        <v>61996.02900000009</v>
      </c>
      <c r="F31" s="102">
        <f>E31</f>
        <v>61996.02900000009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29"/>
      <c r="C48" s="129"/>
      <c r="D48" s="130"/>
      <c r="E48" s="130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2" t="s">
        <v>73</v>
      </c>
      <c r="C50" s="142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3"/>
      <c r="C60" s="143"/>
      <c r="D60" s="143"/>
      <c r="E60" s="143"/>
      <c r="F60" s="65"/>
      <c r="G60" s="65"/>
    </row>
    <row r="61" spans="1:7" ht="63.75" customHeight="1">
      <c r="A61" s="107"/>
      <c r="B61" s="144" t="s">
        <v>98</v>
      </c>
      <c r="C61" s="144"/>
      <c r="D61" s="144"/>
      <c r="E61" s="144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zoomScale="73" zoomScaleNormal="73" zoomScalePageLayoutView="0" workbookViewId="0" topLeftCell="A1">
      <selection activeCell="D26" sqref="D26"/>
    </sheetView>
  </sheetViews>
  <sheetFormatPr defaultColWidth="8.8515625" defaultRowHeight="12.75"/>
  <cols>
    <col min="1" max="1" width="8.00390625" style="63" customWidth="1"/>
    <col min="2" max="2" width="58.421875" style="63" customWidth="1"/>
    <col min="3" max="4" width="15.421875" style="63" customWidth="1"/>
    <col min="5" max="5" width="15.28125" style="63" customWidth="1"/>
    <col min="6" max="6" width="16.140625" style="63" customWidth="1"/>
    <col min="7" max="7" width="11.140625" style="65" customWidth="1"/>
    <col min="8" max="8" width="13.00390625" style="65" customWidth="1"/>
    <col min="9" max="16384" width="8.8515625" style="65" customWidth="1"/>
  </cols>
  <sheetData>
    <row r="1" spans="5:6" ht="18.75">
      <c r="E1" s="149" t="s">
        <v>0</v>
      </c>
      <c r="F1" s="149"/>
    </row>
    <row r="2" spans="1:6" ht="36.75" customHeight="1">
      <c r="A2" s="150" t="s">
        <v>117</v>
      </c>
      <c r="B2" s="150"/>
      <c r="C2" s="150"/>
      <c r="D2" s="150"/>
      <c r="E2" s="150"/>
      <c r="F2" s="15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1" t="s">
        <v>84</v>
      </c>
      <c r="D4" s="151"/>
      <c r="E4" s="151"/>
      <c r="F4" s="69"/>
    </row>
    <row r="5" spans="2:6" ht="19.5">
      <c r="B5" s="68" t="s">
        <v>4</v>
      </c>
      <c r="C5" s="152">
        <v>6</v>
      </c>
      <c r="D5" s="152"/>
      <c r="E5" s="152"/>
      <c r="F5" s="70"/>
    </row>
    <row r="6" spans="2:6" ht="19.5">
      <c r="B6" s="71" t="s">
        <v>5</v>
      </c>
      <c r="C6" s="152">
        <v>11658.01</v>
      </c>
      <c r="D6" s="152"/>
      <c r="E6" s="152"/>
      <c r="F6" s="70"/>
    </row>
    <row r="7" spans="2:6" ht="19.5">
      <c r="B7" s="71" t="s">
        <v>85</v>
      </c>
      <c r="C7" s="72">
        <v>1295</v>
      </c>
      <c r="D7" s="73"/>
      <c r="E7" s="74"/>
      <c r="F7" s="70"/>
    </row>
    <row r="8" spans="2:6" ht="19.5">
      <c r="B8" s="78" t="s">
        <v>87</v>
      </c>
      <c r="C8" s="120">
        <v>1919939.82</v>
      </c>
      <c r="D8" s="80"/>
      <c r="E8" s="81"/>
      <c r="F8" s="77"/>
    </row>
    <row r="9" spans="2:6" ht="19.5">
      <c r="B9" s="78" t="s">
        <v>118</v>
      </c>
      <c r="C9" s="121">
        <v>6</v>
      </c>
      <c r="D9" s="76"/>
      <c r="E9" s="76"/>
      <c r="F9" s="77"/>
    </row>
    <row r="10" spans="2:5" ht="18.75">
      <c r="B10" s="82" t="s">
        <v>88</v>
      </c>
      <c r="C10" s="83">
        <v>9</v>
      </c>
      <c r="D10" s="84"/>
      <c r="E10" s="28"/>
    </row>
    <row r="11" spans="2:5" ht="18.75">
      <c r="B11" s="82" t="s">
        <v>89</v>
      </c>
      <c r="C11" s="83">
        <f>C62*12</f>
        <v>388800</v>
      </c>
      <c r="D11" s="84"/>
      <c r="E11" s="28"/>
    </row>
    <row r="12" spans="2:5" ht="18.75">
      <c r="B12" s="82" t="s">
        <v>90</v>
      </c>
      <c r="C12" s="85">
        <f>C6*C10*12</f>
        <v>1259065.08</v>
      </c>
      <c r="D12" s="84"/>
      <c r="E12" s="28"/>
    </row>
    <row r="13" spans="1:6" ht="18.75">
      <c r="A13" s="145"/>
      <c r="B13" s="145"/>
      <c r="C13" s="145"/>
      <c r="D13" s="145"/>
      <c r="E13" s="145"/>
      <c r="F13" s="145"/>
    </row>
    <row r="14" spans="1:6" ht="18.75">
      <c r="A14" s="86"/>
      <c r="B14" s="87"/>
      <c r="C14" s="87"/>
      <c r="D14" s="88"/>
      <c r="E14" s="89"/>
      <c r="F14" s="90"/>
    </row>
    <row r="15" spans="1:6" ht="18.75" customHeight="1">
      <c r="A15" s="146" t="s">
        <v>8</v>
      </c>
      <c r="B15" s="134" t="s">
        <v>119</v>
      </c>
      <c r="C15" s="147" t="s">
        <v>10</v>
      </c>
      <c r="D15" s="147" t="s">
        <v>11</v>
      </c>
      <c r="E15" s="147"/>
      <c r="F15" s="147" t="s">
        <v>12</v>
      </c>
    </row>
    <row r="16" spans="1:6" ht="75">
      <c r="A16" s="146"/>
      <c r="B16" s="134"/>
      <c r="C16" s="147"/>
      <c r="D16" s="91" t="s">
        <v>14</v>
      </c>
      <c r="E16" s="91" t="s">
        <v>15</v>
      </c>
      <c r="F16" s="147"/>
    </row>
    <row r="17" spans="1:6" ht="18.75">
      <c r="A17" s="92" t="s">
        <v>16</v>
      </c>
      <c r="B17" s="17" t="s">
        <v>17</v>
      </c>
      <c r="C17" s="19">
        <f>D17*C6</f>
        <v>65751.1764</v>
      </c>
      <c r="D17" s="19">
        <v>5.64</v>
      </c>
      <c r="E17" s="19">
        <f>C17*12</f>
        <v>789014.1168</v>
      </c>
      <c r="F17" s="19">
        <f aca="true" t="shared" si="0" ref="F17:F26">C17*12</f>
        <v>789014.1168</v>
      </c>
    </row>
    <row r="18" spans="1:6" ht="18.75">
      <c r="A18" s="93" t="s">
        <v>120</v>
      </c>
      <c r="B18" s="25" t="s">
        <v>21</v>
      </c>
      <c r="C18" s="19">
        <f>D18*C6</f>
        <v>7810.8667000000005</v>
      </c>
      <c r="D18" s="19">
        <v>0.67</v>
      </c>
      <c r="E18" s="19">
        <f>C18*12</f>
        <v>93730.40040000001</v>
      </c>
      <c r="F18" s="19">
        <f t="shared" si="0"/>
        <v>93730.40040000001</v>
      </c>
    </row>
    <row r="19" spans="1:6" ht="37.5">
      <c r="A19" s="93" t="s">
        <v>121</v>
      </c>
      <c r="B19" s="25" t="s">
        <v>23</v>
      </c>
      <c r="C19" s="19">
        <v>2700</v>
      </c>
      <c r="D19" s="19">
        <f>C19/C6</f>
        <v>0.23160041893942448</v>
      </c>
      <c r="E19" s="19">
        <f>C19*12</f>
        <v>32400</v>
      </c>
      <c r="F19" s="19">
        <f t="shared" si="0"/>
        <v>32400</v>
      </c>
    </row>
    <row r="20" spans="1:6" ht="18.75">
      <c r="A20" s="94" t="s">
        <v>122</v>
      </c>
      <c r="B20" s="28" t="s">
        <v>25</v>
      </c>
      <c r="C20" s="19">
        <f>E20/12</f>
        <v>588</v>
      </c>
      <c r="D20" s="19">
        <f>C20/C6</f>
        <v>0.05043742456903022</v>
      </c>
      <c r="E20" s="26">
        <f>(C9*98)*12</f>
        <v>7056</v>
      </c>
      <c r="F20" s="19">
        <f t="shared" si="0"/>
        <v>7056</v>
      </c>
    </row>
    <row r="21" spans="1:6" ht="18.75">
      <c r="A21" s="94" t="s">
        <v>123</v>
      </c>
      <c r="B21" s="29" t="s">
        <v>27</v>
      </c>
      <c r="C21" s="19">
        <f>E21/12</f>
        <v>75.54166666666667</v>
      </c>
      <c r="D21" s="19">
        <f>C21/C7</f>
        <v>0.058333333333333334</v>
      </c>
      <c r="E21" s="19">
        <f>C7*0.7</f>
        <v>906.5000000000001</v>
      </c>
      <c r="F21" s="19">
        <f t="shared" si="0"/>
        <v>906.5</v>
      </c>
    </row>
    <row r="22" spans="1:6" ht="18.75">
      <c r="A22" s="94" t="s">
        <v>124</v>
      </c>
      <c r="B22" s="29" t="s">
        <v>91</v>
      </c>
      <c r="C22" s="19">
        <f>E22/12</f>
        <v>129.5</v>
      </c>
      <c r="D22" s="19">
        <f>C22/C7</f>
        <v>0.1</v>
      </c>
      <c r="E22" s="19">
        <f>C7*1.2</f>
        <v>1554</v>
      </c>
      <c r="F22" s="19">
        <f t="shared" si="0"/>
        <v>1554</v>
      </c>
    </row>
    <row r="23" spans="1:6" s="95" customFormat="1" ht="37.5">
      <c r="A23" s="94" t="s">
        <v>125</v>
      </c>
      <c r="B23" s="29" t="s">
        <v>66</v>
      </c>
      <c r="C23" s="19">
        <f>C12*0.12/12</f>
        <v>12590.650800000001</v>
      </c>
      <c r="D23" s="19">
        <f>C23/C6</f>
        <v>1.08</v>
      </c>
      <c r="E23" s="26">
        <f>C12*0.12</f>
        <v>151087.8096</v>
      </c>
      <c r="F23" s="19">
        <f t="shared" si="0"/>
        <v>151087.8096</v>
      </c>
    </row>
    <row r="24" spans="1:6" ht="37.5">
      <c r="A24" s="94" t="s">
        <v>126</v>
      </c>
      <c r="B24" s="29" t="s">
        <v>92</v>
      </c>
      <c r="C24" s="19">
        <f>C12*0.009/12</f>
        <v>944.2988100000002</v>
      </c>
      <c r="D24" s="19">
        <f>C24/C6</f>
        <v>0.08100000000000002</v>
      </c>
      <c r="E24" s="26">
        <f>C12*0.009</f>
        <v>11331.585720000003</v>
      </c>
      <c r="F24" s="19">
        <f t="shared" si="0"/>
        <v>11331.585720000003</v>
      </c>
    </row>
    <row r="25" spans="1:6" s="95" customFormat="1" ht="18.75">
      <c r="A25" s="94" t="s">
        <v>127</v>
      </c>
      <c r="B25" s="29" t="s">
        <v>93</v>
      </c>
      <c r="C25" s="19">
        <f>E25/12</f>
        <v>2623.05225</v>
      </c>
      <c r="D25" s="19">
        <f>C25/C6</f>
        <v>0.225</v>
      </c>
      <c r="E25" s="26">
        <f>C12*0.025</f>
        <v>31476.627000000004</v>
      </c>
      <c r="F25" s="19">
        <f t="shared" si="0"/>
        <v>31476.627</v>
      </c>
    </row>
    <row r="26" spans="1:6" s="97" customFormat="1" ht="18.75">
      <c r="A26" s="96" t="s">
        <v>128</v>
      </c>
      <c r="B26" s="33" t="s">
        <v>94</v>
      </c>
      <c r="C26" s="34">
        <f>E26/12</f>
        <v>1599.94985</v>
      </c>
      <c r="D26" s="34">
        <f>E26/C6/12</f>
        <v>0.13724039094150717</v>
      </c>
      <c r="E26" s="35">
        <f>C8*0.01</f>
        <v>19199.3982</v>
      </c>
      <c r="F26" s="19">
        <f t="shared" si="0"/>
        <v>19199.3982</v>
      </c>
    </row>
    <row r="27" spans="1:6" s="100" customFormat="1" ht="18.75">
      <c r="A27" s="98"/>
      <c r="B27" s="84" t="s">
        <v>96</v>
      </c>
      <c r="C27" s="18">
        <f>SUM(C17:C26)</f>
        <v>94813.03647666668</v>
      </c>
      <c r="D27" s="18">
        <f>SUM(D17:D26)</f>
        <v>8.273611567783295</v>
      </c>
      <c r="E27" s="18">
        <f>SUM(E17:E26)</f>
        <v>1137756.43772</v>
      </c>
      <c r="F27" s="18">
        <f>SUM(F17:F26)</f>
        <v>1137756.43772</v>
      </c>
    </row>
    <row r="28" spans="1:6" s="95" customFormat="1" ht="18.75">
      <c r="A28" s="94"/>
      <c r="B28" s="29"/>
      <c r="C28" s="19"/>
      <c r="D28" s="19"/>
      <c r="E28" s="26"/>
      <c r="F28" s="26"/>
    </row>
    <row r="29" spans="1:6" s="95" customFormat="1" ht="18.75">
      <c r="A29" s="94"/>
      <c r="B29" s="29"/>
      <c r="C29" s="19"/>
      <c r="D29" s="19"/>
      <c r="E29" s="26"/>
      <c r="F29" s="26"/>
    </row>
    <row r="30" spans="1:6" ht="56.25">
      <c r="A30" s="94"/>
      <c r="B30" s="122" t="s">
        <v>97</v>
      </c>
      <c r="C30" s="123">
        <f>(C10-D27)*C6</f>
        <v>8468.24360666667</v>
      </c>
      <c r="D30" s="123">
        <f>C30/C6</f>
        <v>0.7263884322167051</v>
      </c>
      <c r="E30" s="123"/>
      <c r="F30" s="123">
        <f>C30*12</f>
        <v>101618.92328000005</v>
      </c>
    </row>
    <row r="31" spans="1:6" ht="18.75">
      <c r="A31" s="94"/>
      <c r="B31" s="29"/>
      <c r="C31" s="19"/>
      <c r="D31" s="19"/>
      <c r="E31" s="26"/>
      <c r="F31" s="26"/>
    </row>
    <row r="32" spans="1:6" ht="12.75" customHeight="1">
      <c r="A32" s="159" t="s">
        <v>18</v>
      </c>
      <c r="B32" s="160" t="s">
        <v>129</v>
      </c>
      <c r="C32" s="161"/>
      <c r="D32" s="161"/>
      <c r="E32" s="158"/>
      <c r="F32" s="158"/>
    </row>
    <row r="33" spans="1:6" ht="18.75">
      <c r="A33" s="159"/>
      <c r="B33" s="160"/>
      <c r="C33" s="161"/>
      <c r="D33" s="161"/>
      <c r="E33" s="158"/>
      <c r="F33" s="158"/>
    </row>
    <row r="34" spans="1:6" ht="18.75">
      <c r="A34" s="124" t="s">
        <v>20</v>
      </c>
      <c r="B34" s="29" t="s">
        <v>130</v>
      </c>
      <c r="C34" s="19"/>
      <c r="D34" s="19"/>
      <c r="E34" s="125">
        <v>60000</v>
      </c>
      <c r="F34" s="125">
        <v>60000</v>
      </c>
    </row>
    <row r="35" spans="1:6" ht="18.75">
      <c r="A35" s="94" t="s">
        <v>22</v>
      </c>
      <c r="B35" s="29" t="s">
        <v>131</v>
      </c>
      <c r="C35" s="19"/>
      <c r="D35" s="19"/>
      <c r="E35" s="26">
        <v>15000</v>
      </c>
      <c r="F35" s="26">
        <v>15000</v>
      </c>
    </row>
    <row r="36" spans="1:6" ht="18.75">
      <c r="A36" s="94" t="s">
        <v>24</v>
      </c>
      <c r="B36" s="29" t="s">
        <v>132</v>
      </c>
      <c r="C36" s="19"/>
      <c r="D36" s="19"/>
      <c r="E36" s="26">
        <v>26000</v>
      </c>
      <c r="F36" s="26">
        <v>26000</v>
      </c>
    </row>
    <row r="37" spans="1:6" ht="18.75">
      <c r="A37" s="43"/>
      <c r="B37" s="43" t="s">
        <v>133</v>
      </c>
      <c r="C37" s="44"/>
      <c r="D37" s="19"/>
      <c r="E37" s="44">
        <f>SUM(E34:E36)</f>
        <v>101000</v>
      </c>
      <c r="F37" s="44">
        <f>SUM(F34:F36)</f>
        <v>101000</v>
      </c>
    </row>
    <row r="38" spans="1:6" ht="18.75">
      <c r="A38" s="93"/>
      <c r="B38" s="43" t="s">
        <v>134</v>
      </c>
      <c r="C38" s="18"/>
      <c r="D38" s="18">
        <f>((F37-F30)/C6/12)+C10</f>
        <v>8.995575836699402</v>
      </c>
      <c r="E38" s="18"/>
      <c r="F38" s="18"/>
    </row>
    <row r="39" spans="1:6" ht="18.75">
      <c r="A39" s="93"/>
      <c r="B39" s="43"/>
      <c r="C39" s="18"/>
      <c r="D39" s="18"/>
      <c r="E39" s="18"/>
      <c r="F39" s="18"/>
    </row>
    <row r="40" spans="1:6" ht="18.75">
      <c r="A40" s="93"/>
      <c r="B40" s="43" t="s">
        <v>135</v>
      </c>
      <c r="C40" s="18"/>
      <c r="D40" s="18"/>
      <c r="E40" s="18"/>
      <c r="F40" s="18"/>
    </row>
    <row r="41" spans="1:6" ht="18.75">
      <c r="A41" s="93" t="s">
        <v>26</v>
      </c>
      <c r="B41" s="25" t="s">
        <v>136</v>
      </c>
      <c r="C41" s="18"/>
      <c r="D41" s="18"/>
      <c r="E41" s="19">
        <v>90000</v>
      </c>
      <c r="F41" s="19">
        <v>90000</v>
      </c>
    </row>
    <row r="42" spans="1:6" ht="18.75">
      <c r="A42" s="93" t="s">
        <v>137</v>
      </c>
      <c r="B42" s="25" t="s">
        <v>138</v>
      </c>
      <c r="C42" s="18"/>
      <c r="D42" s="18"/>
      <c r="E42" s="19">
        <v>40000</v>
      </c>
      <c r="F42" s="19">
        <v>40000</v>
      </c>
    </row>
    <row r="43" spans="1:6" ht="18.75">
      <c r="A43" s="93" t="s">
        <v>30</v>
      </c>
      <c r="B43" s="25" t="s">
        <v>139</v>
      </c>
      <c r="C43" s="18"/>
      <c r="D43" s="18"/>
      <c r="E43" s="19">
        <v>127999.32</v>
      </c>
      <c r="F43" s="19">
        <v>127999.32</v>
      </c>
    </row>
    <row r="44" spans="1:6" ht="18.75">
      <c r="A44" s="93" t="s">
        <v>32</v>
      </c>
      <c r="B44" s="25" t="s">
        <v>140</v>
      </c>
      <c r="C44" s="19"/>
      <c r="D44" s="19"/>
      <c r="E44" s="19">
        <v>60000</v>
      </c>
      <c r="F44" s="19">
        <v>60000</v>
      </c>
    </row>
    <row r="45" spans="1:6" ht="18.75">
      <c r="A45" s="93" t="s">
        <v>34</v>
      </c>
      <c r="B45" s="25" t="s">
        <v>141</v>
      </c>
      <c r="C45" s="19"/>
      <c r="D45" s="19"/>
      <c r="E45" s="19">
        <v>3000</v>
      </c>
      <c r="F45" s="19">
        <v>3000</v>
      </c>
    </row>
    <row r="46" spans="1:6" ht="18.75">
      <c r="A46" s="93" t="s">
        <v>36</v>
      </c>
      <c r="B46" s="25" t="s">
        <v>142</v>
      </c>
      <c r="C46" s="19"/>
      <c r="D46" s="19"/>
      <c r="E46" s="19">
        <v>50000</v>
      </c>
      <c r="F46" s="19">
        <v>50000</v>
      </c>
    </row>
    <row r="47" spans="1:6" ht="18.75">
      <c r="A47" s="93" t="s">
        <v>143</v>
      </c>
      <c r="B47" s="126" t="s">
        <v>144</v>
      </c>
      <c r="C47" s="19"/>
      <c r="D47" s="19"/>
      <c r="E47" s="19">
        <v>90922.62</v>
      </c>
      <c r="F47" s="19">
        <v>90922.62</v>
      </c>
    </row>
    <row r="48" spans="1:6" ht="18.75">
      <c r="A48" s="93"/>
      <c r="B48" s="126" t="s">
        <v>145</v>
      </c>
      <c r="C48" s="19"/>
      <c r="D48" s="19"/>
      <c r="E48" s="19">
        <v>180000</v>
      </c>
      <c r="F48" s="19">
        <v>180000</v>
      </c>
    </row>
    <row r="49" spans="1:6" ht="18.75">
      <c r="A49" s="93"/>
      <c r="B49" s="43" t="s">
        <v>146</v>
      </c>
      <c r="C49" s="19"/>
      <c r="D49" s="19"/>
      <c r="E49" s="18">
        <f>SUM(E41:E48)</f>
        <v>641921.94</v>
      </c>
      <c r="F49" s="18">
        <f>SUM(F41:F48)</f>
        <v>641921.94</v>
      </c>
    </row>
    <row r="50" spans="1:6" ht="18.75">
      <c r="A50" s="93"/>
      <c r="B50" s="43"/>
      <c r="C50" s="18"/>
      <c r="D50" s="18"/>
      <c r="E50" s="18"/>
      <c r="F50" s="18"/>
    </row>
    <row r="51" spans="1:6" ht="18.75">
      <c r="A51" s="105"/>
      <c r="B51" s="105"/>
      <c r="C51" s="106"/>
      <c r="D51" s="106"/>
      <c r="E51" s="106"/>
      <c r="F51" s="106"/>
    </row>
    <row r="52" spans="1:6" ht="18.75">
      <c r="A52" s="105"/>
      <c r="B52" s="105"/>
      <c r="C52" s="106"/>
      <c r="D52" s="106"/>
      <c r="E52" s="106"/>
      <c r="F52" s="106"/>
    </row>
    <row r="53" spans="1:6" ht="18.75">
      <c r="A53" s="107"/>
      <c r="B53" s="43" t="s">
        <v>74</v>
      </c>
      <c r="C53" s="108"/>
      <c r="D53" s="109"/>
      <c r="E53" s="109"/>
      <c r="F53" s="109"/>
    </row>
    <row r="54" spans="1:6" ht="18.75">
      <c r="A54" s="107"/>
      <c r="B54" s="93" t="s">
        <v>147</v>
      </c>
      <c r="C54" s="59">
        <v>300</v>
      </c>
      <c r="D54" s="109"/>
      <c r="E54" s="109"/>
      <c r="F54" s="109"/>
    </row>
    <row r="55" spans="1:6" ht="18.75">
      <c r="A55" s="107"/>
      <c r="B55" s="25" t="s">
        <v>76</v>
      </c>
      <c r="C55" s="59">
        <v>250</v>
      </c>
      <c r="D55" s="109"/>
      <c r="E55" s="109"/>
      <c r="F55" s="109"/>
    </row>
    <row r="56" spans="1:6" ht="18.75">
      <c r="A56" s="107"/>
      <c r="B56" s="25" t="s">
        <v>148</v>
      </c>
      <c r="C56" s="59">
        <v>30000</v>
      </c>
      <c r="D56" s="109"/>
      <c r="E56" s="109"/>
      <c r="F56" s="109"/>
    </row>
    <row r="57" spans="1:6" ht="18.75">
      <c r="A57" s="107"/>
      <c r="B57" s="43" t="s">
        <v>77</v>
      </c>
      <c r="C57" s="59">
        <v>0</v>
      </c>
      <c r="D57" s="109"/>
      <c r="E57" s="109"/>
      <c r="F57" s="109"/>
    </row>
    <row r="58" spans="1:6" ht="18.75">
      <c r="A58" s="107"/>
      <c r="B58" s="25" t="s">
        <v>149</v>
      </c>
      <c r="C58" s="127">
        <v>650</v>
      </c>
      <c r="D58" s="109"/>
      <c r="E58" s="109"/>
      <c r="F58" s="109"/>
    </row>
    <row r="59" spans="1:6" ht="18.75">
      <c r="A59" s="107"/>
      <c r="B59" s="25" t="s">
        <v>150</v>
      </c>
      <c r="C59" s="59">
        <v>350</v>
      </c>
      <c r="D59" s="109"/>
      <c r="E59" s="109"/>
      <c r="F59" s="109"/>
    </row>
    <row r="60" spans="1:6" ht="18.75">
      <c r="A60" s="107"/>
      <c r="B60" s="25" t="s">
        <v>151</v>
      </c>
      <c r="C60" s="59">
        <v>500</v>
      </c>
      <c r="D60" s="109"/>
      <c r="E60" s="109"/>
      <c r="F60" s="109"/>
    </row>
    <row r="61" spans="1:6" ht="18.75">
      <c r="A61" s="107"/>
      <c r="B61" s="25" t="s">
        <v>81</v>
      </c>
      <c r="C61" s="59">
        <v>350</v>
      </c>
      <c r="D61" s="109"/>
      <c r="E61" s="109"/>
      <c r="F61" s="109"/>
    </row>
    <row r="62" spans="1:6" ht="18.75">
      <c r="A62" s="107"/>
      <c r="B62" s="56" t="s">
        <v>152</v>
      </c>
      <c r="C62" s="56">
        <f>SUM(C54:C61)</f>
        <v>32400</v>
      </c>
      <c r="D62" s="109"/>
      <c r="E62" s="110"/>
      <c r="F62" s="65"/>
    </row>
    <row r="63" spans="1:6" ht="18.75">
      <c r="A63" s="107"/>
      <c r="B63" s="143"/>
      <c r="C63" s="143"/>
      <c r="D63" s="143"/>
      <c r="E63" s="143"/>
      <c r="F63" s="65"/>
    </row>
    <row r="64" spans="1:6" ht="54.75" customHeight="1">
      <c r="A64" s="107"/>
      <c r="B64" s="144" t="s">
        <v>153</v>
      </c>
      <c r="C64" s="144"/>
      <c r="D64" s="144"/>
      <c r="E64" s="144"/>
      <c r="F64" s="65"/>
    </row>
    <row r="65" spans="1:6" ht="75" customHeight="1">
      <c r="A65" s="60" t="s">
        <v>154</v>
      </c>
      <c r="B65" s="60"/>
      <c r="C65" s="111"/>
      <c r="D65" s="60"/>
      <c r="E65" s="109"/>
      <c r="F65" s="109"/>
    </row>
    <row r="66" spans="1:6" ht="18.75">
      <c r="A66" s="105"/>
      <c r="B66" s="105"/>
      <c r="C66" s="111"/>
      <c r="D66" s="106"/>
      <c r="E66" s="106"/>
      <c r="F66" s="106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ht="18.75">
      <c r="A69" s="112"/>
      <c r="B69" s="112"/>
      <c r="C69" s="111"/>
      <c r="D69" s="111"/>
      <c r="E69" s="111"/>
      <c r="F69" s="111"/>
    </row>
    <row r="70" spans="1:6" ht="18.75">
      <c r="A70" s="112"/>
      <c r="B70" s="112"/>
      <c r="C70" s="111"/>
      <c r="D70" s="111"/>
      <c r="E70" s="111"/>
      <c r="F70" s="111"/>
    </row>
    <row r="71" spans="1:6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112"/>
      <c r="B75" s="112"/>
      <c r="C75" s="111"/>
      <c r="D75" s="111"/>
      <c r="E75" s="111"/>
      <c r="F75" s="111"/>
    </row>
    <row r="76" spans="1:6" s="64" customFormat="1" ht="18.75">
      <c r="A76" s="112"/>
      <c r="B76" s="112"/>
      <c r="C76" s="111"/>
      <c r="D76" s="111"/>
      <c r="E76" s="111"/>
      <c r="F76" s="111"/>
    </row>
    <row r="77" spans="1:6" s="64" customFormat="1" ht="18.75">
      <c r="A77" s="112"/>
      <c r="B77" s="112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111"/>
      <c r="D106" s="111"/>
      <c r="E106" s="111"/>
      <c r="F106" s="111"/>
    </row>
    <row r="107" spans="1:6" s="64" customFormat="1" ht="18.75">
      <c r="A107" s="63"/>
      <c r="B107" s="63"/>
      <c r="C107" s="111"/>
      <c r="D107" s="111"/>
      <c r="E107" s="111"/>
      <c r="F107" s="111"/>
    </row>
    <row r="108" spans="1:6" s="64" customFormat="1" ht="18.75">
      <c r="A108" s="63"/>
      <c r="B108" s="63"/>
      <c r="C108" s="111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  <row r="111" spans="1:6" s="64" customFormat="1" ht="18.75">
      <c r="A111" s="63"/>
      <c r="B111" s="63"/>
      <c r="C111" s="63"/>
      <c r="D111" s="111"/>
      <c r="E111" s="111"/>
      <c r="F111" s="111"/>
    </row>
    <row r="112" spans="1:6" s="64" customFormat="1" ht="18.75">
      <c r="A112" s="63"/>
      <c r="B112" s="63"/>
      <c r="C112" s="63"/>
      <c r="D112" s="111"/>
      <c r="E112" s="111"/>
      <c r="F112" s="111"/>
    </row>
    <row r="113" spans="1:6" s="64" customFormat="1" ht="18.75">
      <c r="A113" s="63"/>
      <c r="B113" s="63"/>
      <c r="C113" s="63"/>
      <c r="D113" s="111"/>
      <c r="E113" s="111"/>
      <c r="F113" s="111"/>
    </row>
  </sheetData>
  <sheetProtection selectLockedCells="1" selectUnlockedCells="1"/>
  <mergeCells count="19">
    <mergeCell ref="C32:C33"/>
    <mergeCell ref="D32:D33"/>
    <mergeCell ref="E32:E33"/>
    <mergeCell ref="E1:F1"/>
    <mergeCell ref="A2:F2"/>
    <mergeCell ref="C4:E4"/>
    <mergeCell ref="C5:E5"/>
    <mergeCell ref="C6:E6"/>
    <mergeCell ref="A13:F13"/>
    <mergeCell ref="F32:F33"/>
    <mergeCell ref="B63:E63"/>
    <mergeCell ref="B64:E64"/>
    <mergeCell ref="A15:A16"/>
    <mergeCell ref="B15:B16"/>
    <mergeCell ref="C15:C16"/>
    <mergeCell ref="D15:E15"/>
    <mergeCell ref="F15:F16"/>
    <mergeCell ref="A32:A33"/>
    <mergeCell ref="B32:B33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I27" sqref="I27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9" t="s">
        <v>0</v>
      </c>
      <c r="F1" s="149"/>
      <c r="G1" s="149"/>
    </row>
    <row r="2" spans="1:7" ht="35.25" customHeight="1">
      <c r="A2" s="150" t="s">
        <v>83</v>
      </c>
      <c r="B2" s="150"/>
      <c r="C2" s="150"/>
      <c r="D2" s="150"/>
      <c r="E2" s="150"/>
      <c r="F2" s="150"/>
      <c r="G2" s="15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1" t="s">
        <v>84</v>
      </c>
      <c r="D4" s="151"/>
      <c r="E4" s="151"/>
      <c r="F4" s="69"/>
    </row>
    <row r="5" spans="2:6" ht="19.5">
      <c r="B5" s="68" t="s">
        <v>4</v>
      </c>
      <c r="C5" s="152">
        <v>6</v>
      </c>
      <c r="D5" s="152"/>
      <c r="E5" s="152"/>
      <c r="F5" s="70"/>
    </row>
    <row r="6" spans="2:6" ht="19.5">
      <c r="B6" s="71" t="s">
        <v>5</v>
      </c>
      <c r="C6" s="152">
        <v>11183.8</v>
      </c>
      <c r="D6" s="152"/>
      <c r="E6" s="152"/>
      <c r="F6" s="70"/>
    </row>
    <row r="7" spans="2:6" ht="19.5">
      <c r="B7" s="71" t="s">
        <v>85</v>
      </c>
      <c r="C7" s="72">
        <v>1260</v>
      </c>
      <c r="D7" s="73"/>
      <c r="E7" s="74"/>
      <c r="F7" s="70"/>
    </row>
    <row r="8" spans="2:6" ht="39">
      <c r="B8" s="75" t="s">
        <v>86</v>
      </c>
      <c r="C8" s="153"/>
      <c r="D8" s="153"/>
      <c r="E8" s="153"/>
      <c r="F8" s="77"/>
    </row>
    <row r="9" spans="2:6" ht="19.5">
      <c r="B9" s="78" t="s">
        <v>87</v>
      </c>
      <c r="C9" s="79">
        <v>640304.4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1140747.5999999999</v>
      </c>
      <c r="D12" s="84">
        <f>C12/12</f>
        <v>95062.29999999999</v>
      </c>
      <c r="E12" s="28"/>
    </row>
    <row r="13" spans="1:7" ht="18.75">
      <c r="A13" s="145"/>
      <c r="B13" s="145"/>
      <c r="C13" s="145"/>
      <c r="D13" s="145"/>
      <c r="E13" s="145"/>
      <c r="F13" s="145"/>
      <c r="G13" s="145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6" t="s">
        <v>8</v>
      </c>
      <c r="B15" s="134" t="s">
        <v>9</v>
      </c>
      <c r="C15" s="147" t="s">
        <v>10</v>
      </c>
      <c r="D15" s="147" t="s">
        <v>11</v>
      </c>
      <c r="E15" s="147"/>
      <c r="F15" s="147" t="s">
        <v>12</v>
      </c>
      <c r="G15" s="148" t="s">
        <v>13</v>
      </c>
    </row>
    <row r="16" spans="1:7" ht="75">
      <c r="A16" s="146"/>
      <c r="B16" s="134"/>
      <c r="C16" s="147"/>
      <c r="D16" s="91" t="s">
        <v>14</v>
      </c>
      <c r="E16" s="91" t="s">
        <v>15</v>
      </c>
      <c r="F16" s="147"/>
      <c r="G16" s="148"/>
    </row>
    <row r="17" spans="1:7" ht="18.75">
      <c r="A17" s="92" t="s">
        <v>16</v>
      </c>
      <c r="B17" s="17" t="s">
        <v>17</v>
      </c>
      <c r="C17" s="19">
        <f>D17*C6</f>
        <v>51892.831999999995</v>
      </c>
      <c r="D17" s="19">
        <v>4.64</v>
      </c>
      <c r="E17" s="19">
        <f>C17*12</f>
        <v>622713.9839999999</v>
      </c>
      <c r="F17" s="19">
        <f aca="true" t="shared" si="0" ref="F17:F27">C17*12</f>
        <v>622713.9839999999</v>
      </c>
      <c r="G17" s="20"/>
    </row>
    <row r="18" spans="1:7" ht="18.75">
      <c r="A18" s="93" t="s">
        <v>20</v>
      </c>
      <c r="B18" s="25" t="s">
        <v>21</v>
      </c>
      <c r="C18" s="19">
        <f>0.47*C6</f>
        <v>5256.386</v>
      </c>
      <c r="D18" s="19">
        <v>0.47</v>
      </c>
      <c r="E18" s="19">
        <f>C18*12</f>
        <v>63076.632000000005</v>
      </c>
      <c r="F18" s="19">
        <f t="shared" si="0"/>
        <v>63076.632000000005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0.12071031313149377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0.009925070190811711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246.75</v>
      </c>
      <c r="D21" s="19">
        <f>E21/C6</f>
        <v>0.2647579534684097</v>
      </c>
      <c r="E21" s="19">
        <f>C7*2.35</f>
        <v>2961</v>
      </c>
      <c r="F21" s="19">
        <f t="shared" si="0"/>
        <v>2961</v>
      </c>
      <c r="G21" s="26"/>
    </row>
    <row r="22" spans="1:7" ht="18.75">
      <c r="A22" s="94" t="s">
        <v>28</v>
      </c>
      <c r="B22" s="29" t="s">
        <v>91</v>
      </c>
      <c r="C22" s="19">
        <f>E22/12</f>
        <v>170.1</v>
      </c>
      <c r="D22" s="19">
        <f>E22/C6</f>
        <v>0.18251399345481858</v>
      </c>
      <c r="E22" s="19">
        <f>C7*1.62</f>
        <v>2041.2</v>
      </c>
      <c r="F22" s="19">
        <f t="shared" si="0"/>
        <v>2041.1999999999998</v>
      </c>
      <c r="G22" s="26"/>
    </row>
    <row r="23" spans="1:7" s="95" customFormat="1" ht="18.75">
      <c r="A23" s="94"/>
      <c r="B23" s="29" t="s">
        <v>66</v>
      </c>
      <c r="C23" s="19">
        <f>C12*0.12/12</f>
        <v>11407.475999999997</v>
      </c>
      <c r="D23" s="19">
        <f>C23/C6</f>
        <v>1.0199999999999998</v>
      </c>
      <c r="E23" s="26">
        <f>C12*0.12</f>
        <v>136889.71199999997</v>
      </c>
      <c r="F23" s="19">
        <f t="shared" si="0"/>
        <v>136889.71199999997</v>
      </c>
      <c r="G23" s="26"/>
    </row>
    <row r="24" spans="1:7" ht="37.5">
      <c r="A24" s="94"/>
      <c r="B24" s="29" t="s">
        <v>92</v>
      </c>
      <c r="C24" s="19">
        <f>C12*0.009/12</f>
        <v>855.5607</v>
      </c>
      <c r="D24" s="19">
        <f>C24/C6</f>
        <v>0.0765</v>
      </c>
      <c r="E24" s="26">
        <f>C12*0.009</f>
        <v>10266.7284</v>
      </c>
      <c r="F24" s="19">
        <f t="shared" si="0"/>
        <v>10266.7284</v>
      </c>
      <c r="G24" s="26"/>
    </row>
    <row r="25" spans="1:7" s="95" customFormat="1" ht="18.75">
      <c r="A25" s="94"/>
      <c r="B25" s="29" t="s">
        <v>93</v>
      </c>
      <c r="C25" s="19">
        <f>C12*0.025/12</f>
        <v>2376.5575</v>
      </c>
      <c r="D25" s="19">
        <f>C25/C6</f>
        <v>0.2125</v>
      </c>
      <c r="E25" s="26">
        <f>C25*12</f>
        <v>28518.69</v>
      </c>
      <c r="F25" s="19">
        <f t="shared" si="0"/>
        <v>28518.69</v>
      </c>
      <c r="G25" s="26"/>
    </row>
    <row r="26" spans="1:7" s="97" customFormat="1" ht="18.75">
      <c r="A26" s="96"/>
      <c r="B26" s="33" t="s">
        <v>94</v>
      </c>
      <c r="C26" s="34">
        <f>E26/12</f>
        <v>533.5870000000001</v>
      </c>
      <c r="D26" s="34">
        <f>E26/C6/12</f>
        <v>0.04771070655769954</v>
      </c>
      <c r="E26" s="35">
        <f>C9*0.01</f>
        <v>6403.044000000001</v>
      </c>
      <c r="F26" s="19">
        <f t="shared" si="0"/>
        <v>6403.044000000002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0.33553890448684703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77952.8492</v>
      </c>
      <c r="D28" s="18">
        <f>SUM(D17:D27)</f>
        <v>7.38015694129008</v>
      </c>
      <c r="E28" s="18">
        <f>SUM(E17:E27)</f>
        <v>935434.1903999997</v>
      </c>
      <c r="F28" s="18">
        <f>SUM(F17:F27)</f>
        <v>935434.1903999997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12524.100800000002</v>
      </c>
      <c r="D31" s="102">
        <f>C31/C6</f>
        <v>1.11984305870992</v>
      </c>
      <c r="E31" s="102">
        <f>C31*12</f>
        <v>150289.20960000003</v>
      </c>
      <c r="F31" s="102">
        <f>E31</f>
        <v>150289.20960000003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29"/>
      <c r="C48" s="129"/>
      <c r="D48" s="130"/>
      <c r="E48" s="130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2" t="s">
        <v>73</v>
      </c>
      <c r="C50" s="142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3"/>
      <c r="C60" s="143"/>
      <c r="D60" s="143"/>
      <c r="E60" s="143"/>
      <c r="F60" s="65"/>
      <c r="G60" s="65"/>
    </row>
    <row r="61" spans="1:7" ht="64.5" customHeight="1">
      <c r="A61" s="107"/>
      <c r="B61" s="144" t="s">
        <v>98</v>
      </c>
      <c r="C61" s="144"/>
      <c r="D61" s="144"/>
      <c r="E61" s="144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7" t="s">
        <v>0</v>
      </c>
      <c r="F1" s="137"/>
      <c r="G1" s="137"/>
    </row>
    <row r="2" spans="1:7" ht="50.25" customHeight="1">
      <c r="A2" s="150" t="s">
        <v>99</v>
      </c>
      <c r="B2" s="150"/>
      <c r="C2" s="150"/>
      <c r="D2" s="150"/>
      <c r="E2" s="150"/>
      <c r="F2" s="150"/>
      <c r="G2" s="150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51" t="s">
        <v>100</v>
      </c>
      <c r="D4" s="151"/>
      <c r="E4" s="151"/>
      <c r="F4" s="69"/>
      <c r="G4" s="64"/>
    </row>
    <row r="5" spans="1:7" s="65" customFormat="1" ht="19.5">
      <c r="A5" s="63"/>
      <c r="B5" s="68" t="s">
        <v>4</v>
      </c>
      <c r="C5" s="152">
        <v>4</v>
      </c>
      <c r="D5" s="152"/>
      <c r="E5" s="152"/>
      <c r="F5" s="70"/>
      <c r="G5" s="64"/>
    </row>
    <row r="6" spans="1:7" s="65" customFormat="1" ht="19.5">
      <c r="A6" s="63"/>
      <c r="B6" s="71" t="s">
        <v>5</v>
      </c>
      <c r="C6" s="157">
        <v>2256.3</v>
      </c>
      <c r="D6" s="157"/>
      <c r="E6" s="157"/>
      <c r="F6" s="70"/>
      <c r="G6" s="64"/>
    </row>
    <row r="7" spans="1:7" s="65" customFormat="1" ht="19.5">
      <c r="A7" s="63"/>
      <c r="B7" s="71" t="s">
        <v>85</v>
      </c>
      <c r="C7" s="72">
        <v>426.6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53"/>
      <c r="D8" s="153"/>
      <c r="E8" s="153"/>
      <c r="F8" s="77"/>
      <c r="G8" s="64"/>
    </row>
    <row r="9" spans="1:7" s="65" customFormat="1" ht="18.75" customHeight="1">
      <c r="A9" s="63"/>
      <c r="B9" s="78" t="s">
        <v>87</v>
      </c>
      <c r="C9" s="79">
        <v>124524.79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8.5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12*D48</f>
        <v>6000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230142.60000000003</v>
      </c>
      <c r="D12" s="84"/>
      <c r="E12" s="28"/>
      <c r="F12" s="63"/>
      <c r="G12" s="64"/>
    </row>
    <row r="13" spans="1:7" ht="15">
      <c r="A13" s="156"/>
      <c r="B13" s="156"/>
      <c r="C13" s="156"/>
      <c r="D13" s="156"/>
      <c r="E13" s="156"/>
      <c r="F13" s="156"/>
      <c r="G13" s="156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33" t="s">
        <v>8</v>
      </c>
      <c r="B15" s="134" t="s">
        <v>9</v>
      </c>
      <c r="C15" s="135" t="s">
        <v>10</v>
      </c>
      <c r="D15" s="135" t="s">
        <v>11</v>
      </c>
      <c r="E15" s="135"/>
      <c r="F15" s="135" t="s">
        <v>12</v>
      </c>
      <c r="G15" s="136" t="s">
        <v>13</v>
      </c>
    </row>
    <row r="16" spans="1:7" ht="45" customHeight="1">
      <c r="A16" s="133"/>
      <c r="B16" s="134"/>
      <c r="C16" s="135"/>
      <c r="D16" s="14" t="s">
        <v>14</v>
      </c>
      <c r="E16" s="15" t="s">
        <v>15</v>
      </c>
      <c r="F16" s="135"/>
      <c r="G16" s="136"/>
    </row>
    <row r="17" spans="1:7" ht="27" customHeight="1">
      <c r="A17" s="16" t="s">
        <v>16</v>
      </c>
      <c r="B17" s="17" t="s">
        <v>17</v>
      </c>
      <c r="C17" s="19">
        <f>D17*C6</f>
        <v>10469.232</v>
      </c>
      <c r="D17" s="19">
        <v>4.64</v>
      </c>
      <c r="E17" s="19">
        <f>C17*12</f>
        <v>125630.784</v>
      </c>
      <c r="F17" s="19">
        <f aca="true" t="shared" si="0" ref="F17:F25">C17*12</f>
        <v>125630.784</v>
      </c>
      <c r="G17" s="20"/>
    </row>
    <row r="18" spans="1:7" ht="18.75">
      <c r="A18" s="24" t="s">
        <v>20</v>
      </c>
      <c r="B18" s="25" t="s">
        <v>21</v>
      </c>
      <c r="C18" s="19">
        <f>0.47*C6</f>
        <v>1060.4610000000002</v>
      </c>
      <c r="D18" s="19">
        <v>0.47</v>
      </c>
      <c r="E18" s="19">
        <f>C18*12</f>
        <v>12725.532000000003</v>
      </c>
      <c r="F18" s="19">
        <f t="shared" si="0"/>
        <v>12725.532000000003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0.5983246908655764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27" t="s">
        <v>26</v>
      </c>
      <c r="B20" s="29" t="s">
        <v>27</v>
      </c>
      <c r="C20" s="19">
        <f>E20/12</f>
        <v>83.5425</v>
      </c>
      <c r="D20" s="19">
        <f>C20/C6</f>
        <v>0.037026326286398084</v>
      </c>
      <c r="E20" s="19">
        <f>C7*2.35</f>
        <v>1002.5100000000001</v>
      </c>
      <c r="F20" s="19">
        <f t="shared" si="0"/>
        <v>1002.51</v>
      </c>
      <c r="G20" s="26"/>
    </row>
    <row r="21" spans="1:7" ht="16.5" customHeight="1">
      <c r="A21" s="27" t="s">
        <v>28</v>
      </c>
      <c r="B21" s="29" t="s">
        <v>91</v>
      </c>
      <c r="C21" s="19">
        <f>E21/12</f>
        <v>57.59100000000001</v>
      </c>
      <c r="D21" s="19">
        <f>C21/C6</f>
        <v>0.02552453131232549</v>
      </c>
      <c r="E21" s="19">
        <f>C7*1.62</f>
        <v>691.0920000000001</v>
      </c>
      <c r="F21" s="19">
        <f t="shared" si="0"/>
        <v>691.0920000000001</v>
      </c>
      <c r="G21" s="26"/>
    </row>
    <row r="22" spans="1:7" s="30" customFormat="1" ht="18.75">
      <c r="A22" s="27"/>
      <c r="B22" s="29" t="s">
        <v>66</v>
      </c>
      <c r="C22" s="19">
        <f>C12*0.12/12</f>
        <v>2301.4260000000004</v>
      </c>
      <c r="D22" s="19">
        <f>C22/C6</f>
        <v>1.02</v>
      </c>
      <c r="E22" s="26">
        <f>C12*0.12</f>
        <v>27617.112000000005</v>
      </c>
      <c r="F22" s="19">
        <f t="shared" si="0"/>
        <v>27617.112000000005</v>
      </c>
      <c r="G22" s="26"/>
    </row>
    <row r="23" spans="1:7" ht="37.5">
      <c r="A23" s="27"/>
      <c r="B23" s="29" t="s">
        <v>92</v>
      </c>
      <c r="C23" s="19">
        <f>C12*0.009/12</f>
        <v>172.60695000000007</v>
      </c>
      <c r="D23" s="19">
        <f>C23/C6</f>
        <v>0.07650000000000003</v>
      </c>
      <c r="E23" s="26">
        <f>C12*0.009</f>
        <v>2071.2834000000007</v>
      </c>
      <c r="F23" s="19">
        <f t="shared" si="0"/>
        <v>2071.2834000000007</v>
      </c>
      <c r="G23" s="26"/>
    </row>
    <row r="24" spans="1:7" s="30" customFormat="1" ht="21" customHeight="1">
      <c r="A24" s="27"/>
      <c r="B24" s="29" t="s">
        <v>93</v>
      </c>
      <c r="C24" s="19">
        <f>C12*0.025/12</f>
        <v>479.4637500000001</v>
      </c>
      <c r="D24" s="19">
        <f>C24/C6</f>
        <v>0.21250000000000002</v>
      </c>
      <c r="E24" s="26">
        <f>C24*12</f>
        <v>5753.565000000001</v>
      </c>
      <c r="F24" s="19">
        <f t="shared" si="0"/>
        <v>5753.565000000001</v>
      </c>
      <c r="G24" s="26"/>
    </row>
    <row r="25" spans="1:7" s="37" customFormat="1" ht="20.25" customHeight="1">
      <c r="A25" s="32"/>
      <c r="B25" s="33" t="s">
        <v>101</v>
      </c>
      <c r="C25" s="34">
        <f>E25/12</f>
        <v>103.77065833333334</v>
      </c>
      <c r="D25" s="34">
        <f>E25/C6/12</f>
        <v>0.04599151634682149</v>
      </c>
      <c r="E25" s="35">
        <f>C9*0.01</f>
        <v>1245.2479</v>
      </c>
      <c r="F25" s="19">
        <f t="shared" si="0"/>
        <v>1245.2479</v>
      </c>
      <c r="G25" s="35"/>
    </row>
    <row r="26" spans="1:7" s="119" customFormat="1" ht="18.75">
      <c r="A26" s="118"/>
      <c r="B26" s="84" t="s">
        <v>96</v>
      </c>
      <c r="C26" s="18">
        <f>SUM(C17:C25)</f>
        <v>16078.093858333332</v>
      </c>
      <c r="D26" s="18">
        <f>SUM(D17:D25)</f>
        <v>7.125867064811121</v>
      </c>
      <c r="E26" s="18">
        <f>SUM(E17:E25)</f>
        <v>192937.1263</v>
      </c>
      <c r="F26" s="18">
        <f>SUM(F17:F25)</f>
        <v>192937.1263</v>
      </c>
      <c r="G26" s="99"/>
    </row>
    <row r="27" spans="1:7" s="30" customFormat="1" ht="19.5" customHeight="1">
      <c r="A27" s="27"/>
      <c r="B27" s="29"/>
      <c r="C27" s="19"/>
      <c r="D27" s="19"/>
      <c r="E27" s="26"/>
      <c r="F27" s="26"/>
      <c r="G27" s="26"/>
    </row>
    <row r="28" spans="1:7" s="30" customFormat="1" ht="19.5" customHeight="1">
      <c r="A28" s="27"/>
      <c r="B28" s="29"/>
      <c r="C28" s="19"/>
      <c r="D28" s="19"/>
      <c r="E28" s="26"/>
      <c r="F28" s="26"/>
      <c r="G28" s="26"/>
    </row>
    <row r="29" spans="1:7" ht="37.5">
      <c r="A29" s="27"/>
      <c r="B29" s="101" t="s">
        <v>97</v>
      </c>
      <c r="C29" s="102">
        <f>E29/12</f>
        <v>3100.4561416666693</v>
      </c>
      <c r="D29" s="102">
        <f>C29/C6</f>
        <v>1.3741329351888796</v>
      </c>
      <c r="E29" s="102">
        <f>F29</f>
        <v>37205.47370000003</v>
      </c>
      <c r="F29" s="102">
        <f>C12-F26</f>
        <v>37205.47370000003</v>
      </c>
      <c r="G29" s="26"/>
    </row>
    <row r="30" spans="1:7" ht="18.75">
      <c r="A30" s="27"/>
      <c r="B30" s="29"/>
      <c r="C30" s="19"/>
      <c r="D30" s="19"/>
      <c r="E30" s="26"/>
      <c r="F30" s="26"/>
      <c r="G30" s="26"/>
    </row>
    <row r="31" spans="1:7" ht="18.75">
      <c r="A31" s="27" t="s">
        <v>8</v>
      </c>
      <c r="B31" s="29" t="s">
        <v>102</v>
      </c>
      <c r="C31" s="19"/>
      <c r="D31" s="19">
        <f>E31/C6/12</f>
        <v>2.105216504897398</v>
      </c>
      <c r="E31" s="26">
        <f>F31</f>
        <v>57000</v>
      </c>
      <c r="F31" s="26">
        <v>57000</v>
      </c>
      <c r="G31" s="26"/>
    </row>
    <row r="32" spans="1:7" ht="18.75">
      <c r="A32" s="27" t="s">
        <v>18</v>
      </c>
      <c r="B32" s="29" t="s">
        <v>103</v>
      </c>
      <c r="C32" s="19"/>
      <c r="D32" s="19">
        <f>E32/C7/12</f>
        <v>0</v>
      </c>
      <c r="E32" s="26"/>
      <c r="F32" s="26"/>
      <c r="G32" s="26"/>
    </row>
    <row r="33" spans="1:7" ht="18.75">
      <c r="A33" s="27" t="s">
        <v>104</v>
      </c>
      <c r="B33" s="29" t="s">
        <v>105</v>
      </c>
      <c r="C33" s="19"/>
      <c r="D33" s="19">
        <f>E33/C6/12</f>
        <v>0</v>
      </c>
      <c r="E33" s="26"/>
      <c r="F33" s="26"/>
      <c r="G33" s="26"/>
    </row>
    <row r="34" spans="1:7" ht="18.75">
      <c r="A34" s="27" t="s">
        <v>106</v>
      </c>
      <c r="B34" s="29"/>
      <c r="C34" s="19"/>
      <c r="D34" s="19">
        <f>E34/C9/12</f>
        <v>0</v>
      </c>
      <c r="E34" s="26"/>
      <c r="F34" s="26"/>
      <c r="G34" s="26"/>
    </row>
    <row r="35" spans="1:7" ht="19.5" customHeight="1">
      <c r="A35" s="27"/>
      <c r="B35" s="29"/>
      <c r="C35" s="19"/>
      <c r="D35" s="19">
        <f>E35/C10/12</f>
        <v>0</v>
      </c>
      <c r="E35" s="26"/>
      <c r="F35" s="26"/>
      <c r="G35" s="26"/>
    </row>
    <row r="36" spans="1:7" ht="18.75">
      <c r="A36" s="27"/>
      <c r="B36" s="29"/>
      <c r="C36" s="19"/>
      <c r="D36" s="19">
        <f>E36/C11/12</f>
        <v>0</v>
      </c>
      <c r="E36" s="26"/>
      <c r="F36" s="26"/>
      <c r="G36" s="26"/>
    </row>
    <row r="37" spans="1:7" ht="18.75">
      <c r="A37" s="27"/>
      <c r="B37" s="29"/>
      <c r="C37" s="19"/>
      <c r="D37" s="19">
        <f>E37/C12/12</f>
        <v>0</v>
      </c>
      <c r="E37" s="26"/>
      <c r="F37" s="26"/>
      <c r="G37" s="26"/>
    </row>
    <row r="38" spans="1:7" ht="18.75">
      <c r="A38" s="27"/>
      <c r="B38" s="29"/>
      <c r="C38" s="19"/>
      <c r="D38" s="19">
        <f>E38/C6/12</f>
        <v>0</v>
      </c>
      <c r="E38" s="26"/>
      <c r="F38" s="26"/>
      <c r="G38" s="26"/>
    </row>
    <row r="39" spans="1:7" ht="18.75">
      <c r="A39" s="27"/>
      <c r="B39" s="29"/>
      <c r="C39" s="19"/>
      <c r="D39" s="19">
        <f>E39/C6/12</f>
        <v>0</v>
      </c>
      <c r="E39" s="26"/>
      <c r="F39" s="26"/>
      <c r="G39" s="26"/>
    </row>
    <row r="40" spans="1:7" ht="18.75">
      <c r="A40" s="24"/>
      <c r="B40" s="25"/>
      <c r="C40" s="18"/>
      <c r="D40" s="19">
        <f>E40/C6/12</f>
        <v>0</v>
      </c>
      <c r="E40" s="18"/>
      <c r="F40" s="18"/>
      <c r="G40" s="18"/>
    </row>
    <row r="41" spans="1:7" ht="18.75">
      <c r="A41" s="27"/>
      <c r="B41" s="29"/>
      <c r="C41" s="19"/>
      <c r="D41" s="19">
        <f>E41/C6/12</f>
        <v>0</v>
      </c>
      <c r="E41" s="26"/>
      <c r="F41" s="26"/>
      <c r="G41" s="26"/>
    </row>
    <row r="42" spans="1:7" ht="18.75">
      <c r="A42" s="38"/>
      <c r="B42" s="39"/>
      <c r="C42" s="18"/>
      <c r="D42" s="19">
        <f>E42/C17/12</f>
        <v>0</v>
      </c>
      <c r="E42" s="41"/>
      <c r="F42" s="40"/>
      <c r="G42" s="40"/>
    </row>
    <row r="43" spans="1:7" ht="18.75">
      <c r="A43" s="42"/>
      <c r="B43" s="43"/>
      <c r="C43" s="18"/>
      <c r="D43" s="19">
        <f>E43/C18/12</f>
        <v>0</v>
      </c>
      <c r="E43" s="41"/>
      <c r="F43" s="18"/>
      <c r="G43" s="18"/>
    </row>
    <row r="44" spans="1:7" ht="18.75">
      <c r="A44" s="42"/>
      <c r="B44" s="43"/>
      <c r="C44" s="44"/>
      <c r="D44" s="19">
        <f>E44/C19/12</f>
        <v>0</v>
      </c>
      <c r="E44" s="44"/>
      <c r="F44" s="44"/>
      <c r="G44" s="45"/>
    </row>
    <row r="45" spans="1:7" ht="18.75">
      <c r="A45" s="24"/>
      <c r="B45" s="43"/>
      <c r="C45" s="18"/>
      <c r="D45" s="19" t="e">
        <f>#N/A</f>
        <v>#N/A</v>
      </c>
      <c r="E45" s="18"/>
      <c r="F45" s="18"/>
      <c r="G45" s="18"/>
    </row>
    <row r="46" spans="1:7" ht="18.75" customHeight="1">
      <c r="A46" s="24"/>
      <c r="B46" s="129"/>
      <c r="C46" s="129"/>
      <c r="D46" s="130"/>
      <c r="E46" s="130"/>
      <c r="F46" s="46"/>
      <c r="G46" s="18"/>
    </row>
    <row r="47" spans="1:6" ht="15">
      <c r="A47" s="47"/>
      <c r="B47" s="47"/>
      <c r="C47" s="48"/>
      <c r="D47" s="48"/>
      <c r="E47" s="48"/>
      <c r="F47" s="48"/>
    </row>
    <row r="48" spans="1:4" ht="20.25">
      <c r="A48" s="47"/>
      <c r="B48" s="131" t="s">
        <v>73</v>
      </c>
      <c r="C48" s="131"/>
      <c r="D48" s="49">
        <v>500</v>
      </c>
    </row>
    <row r="49" spans="1:6" ht="15">
      <c r="A49" s="47"/>
      <c r="B49" s="47"/>
      <c r="C49" s="48"/>
      <c r="D49" s="48"/>
      <c r="E49" s="48"/>
      <c r="F49" s="48"/>
    </row>
    <row r="50" spans="1:7" ht="18.75">
      <c r="A50" s="50"/>
      <c r="B50" s="43" t="s">
        <v>74</v>
      </c>
      <c r="C50" s="108"/>
      <c r="D50" s="53"/>
      <c r="E50" s="53"/>
      <c r="F50" s="53"/>
      <c r="G50" s="54"/>
    </row>
    <row r="51" spans="1:7" ht="15">
      <c r="A51" s="50"/>
      <c r="B51" s="53"/>
      <c r="C51" s="53"/>
      <c r="D51" s="53"/>
      <c r="E51" s="54"/>
      <c r="F51" s="3"/>
      <c r="G51" s="3"/>
    </row>
    <row r="52" spans="1:7" ht="15">
      <c r="A52" s="50"/>
      <c r="B52" s="154"/>
      <c r="C52" s="154"/>
      <c r="D52" s="154"/>
      <c r="E52" s="154"/>
      <c r="F52" s="3"/>
      <c r="G52" s="3"/>
    </row>
    <row r="53" spans="1:7" ht="52.5" customHeight="1">
      <c r="A53" s="50"/>
      <c r="B53" s="155" t="s">
        <v>98</v>
      </c>
      <c r="C53" s="155"/>
      <c r="D53" s="155"/>
      <c r="E53" s="155"/>
      <c r="F53" s="3"/>
      <c r="G53" s="3"/>
    </row>
    <row r="54" spans="1:7" ht="48.75" customHeight="1">
      <c r="A54" s="60" t="s">
        <v>82</v>
      </c>
      <c r="B54" s="60"/>
      <c r="C54" s="61"/>
      <c r="D54" s="60"/>
      <c r="E54" s="53"/>
      <c r="F54" s="53"/>
      <c r="G54" s="54"/>
    </row>
    <row r="55" spans="1:6" ht="15">
      <c r="A55" s="47"/>
      <c r="B55" s="47"/>
      <c r="C55" s="61"/>
      <c r="D55" s="48"/>
      <c r="E55" s="48"/>
      <c r="F55" s="48"/>
    </row>
    <row r="56" spans="1:6" ht="15">
      <c r="A56" s="62"/>
      <c r="B56" s="62"/>
      <c r="C56" s="61"/>
      <c r="D56" s="61"/>
      <c r="E56" s="61"/>
      <c r="F56" s="61"/>
    </row>
    <row r="57" spans="1:6" ht="15">
      <c r="A57" s="62"/>
      <c r="B57" s="62"/>
      <c r="C57" s="61"/>
      <c r="D57" s="61"/>
      <c r="E57" s="61"/>
      <c r="F57" s="61"/>
    </row>
    <row r="58" spans="1:6" ht="15">
      <c r="A58" s="62"/>
      <c r="B58" s="62"/>
      <c r="C58" s="61"/>
      <c r="D58" s="61"/>
      <c r="E58" s="61"/>
      <c r="F58" s="61"/>
    </row>
    <row r="59" spans="1:6" ht="15">
      <c r="A59" s="62"/>
      <c r="B59" s="62"/>
      <c r="C59" s="61"/>
      <c r="D59" s="61"/>
      <c r="E59" s="61"/>
      <c r="F59" s="61"/>
    </row>
    <row r="60" spans="1:6" ht="15">
      <c r="A60" s="62"/>
      <c r="B60" s="62"/>
      <c r="C60" s="61"/>
      <c r="D60" s="61"/>
      <c r="E60" s="61"/>
      <c r="F60" s="61"/>
    </row>
    <row r="61" spans="1:6" s="2" customFormat="1" ht="15">
      <c r="A61" s="62"/>
      <c r="B61" s="62"/>
      <c r="C61" s="61"/>
      <c r="D61" s="61"/>
      <c r="E61" s="61"/>
      <c r="F61" s="61"/>
    </row>
    <row r="62" spans="1:6" s="2" customFormat="1" ht="15">
      <c r="A62" s="62"/>
      <c r="B62" s="62"/>
      <c r="C62" s="61"/>
      <c r="D62" s="61"/>
      <c r="E62" s="61"/>
      <c r="F62" s="61"/>
    </row>
    <row r="63" spans="1:6" s="2" customFormat="1" ht="15">
      <c r="A63" s="62"/>
      <c r="B63" s="62"/>
      <c r="C63" s="61"/>
      <c r="D63" s="61"/>
      <c r="E63" s="61"/>
      <c r="F63" s="61"/>
    </row>
    <row r="64" spans="1:6" s="2" customFormat="1" ht="15">
      <c r="A64" s="62"/>
      <c r="B64" s="62"/>
      <c r="C64" s="61"/>
      <c r="D64" s="61"/>
      <c r="E64" s="61"/>
      <c r="F64" s="61"/>
    </row>
    <row r="65" spans="1:6" s="2" customFormat="1" ht="15">
      <c r="A65" s="62"/>
      <c r="B65" s="62"/>
      <c r="C65" s="61"/>
      <c r="D65" s="61"/>
      <c r="E65" s="61"/>
      <c r="F65" s="61"/>
    </row>
    <row r="66" spans="1:6" s="2" customFormat="1" ht="15">
      <c r="A66" s="62"/>
      <c r="B66" s="62"/>
      <c r="C66" s="61"/>
      <c r="D66" s="61"/>
      <c r="E66" s="61"/>
      <c r="F66" s="61"/>
    </row>
    <row r="67" spans="1:6" s="2" customFormat="1" ht="15">
      <c r="A67" s="1"/>
      <c r="B67" s="1"/>
      <c r="C67" s="61"/>
      <c r="D67" s="61"/>
      <c r="E67" s="61"/>
      <c r="F67" s="61"/>
    </row>
    <row r="68" spans="1:6" s="2" customFormat="1" ht="15">
      <c r="A68" s="1"/>
      <c r="B68" s="1"/>
      <c r="C68" s="61"/>
      <c r="D68" s="61"/>
      <c r="E68" s="61"/>
      <c r="F68" s="61"/>
    </row>
    <row r="69" spans="1:6" s="2" customFormat="1" ht="15">
      <c r="A69" s="1"/>
      <c r="B69" s="1"/>
      <c r="C69" s="61"/>
      <c r="D69" s="61"/>
      <c r="E69" s="61"/>
      <c r="F69" s="61"/>
    </row>
    <row r="70" spans="1:6" s="2" customFormat="1" ht="15">
      <c r="A70" s="1"/>
      <c r="B70" s="1"/>
      <c r="C70" s="61"/>
      <c r="D70" s="61"/>
      <c r="E70" s="61"/>
      <c r="F70" s="61"/>
    </row>
    <row r="71" spans="1:6" s="2" customFormat="1" ht="15">
      <c r="A71" s="1"/>
      <c r="B71" s="1"/>
      <c r="C71" s="61"/>
      <c r="D71" s="61"/>
      <c r="E71" s="61"/>
      <c r="F71" s="61"/>
    </row>
    <row r="72" spans="1:6" s="2" customFormat="1" ht="15">
      <c r="A72" s="1"/>
      <c r="B72" s="1"/>
      <c r="C72" s="61"/>
      <c r="D72" s="61"/>
      <c r="E72" s="61"/>
      <c r="F72" s="61"/>
    </row>
    <row r="73" spans="1:6" s="2" customFormat="1" ht="15">
      <c r="A73" s="1"/>
      <c r="B73" s="1"/>
      <c r="C73" s="61"/>
      <c r="D73" s="61"/>
      <c r="E73" s="61"/>
      <c r="F73" s="61"/>
    </row>
    <row r="74" spans="1:6" s="2" customFormat="1" ht="15">
      <c r="A74" s="1"/>
      <c r="B74" s="1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1"/>
      <c r="D98" s="61"/>
      <c r="E98" s="61"/>
      <c r="F98" s="61"/>
    </row>
    <row r="99" spans="1:6" s="2" customFormat="1" ht="15">
      <c r="A99" s="1"/>
      <c r="B99" s="1"/>
      <c r="C99" s="1"/>
      <c r="D99" s="61"/>
      <c r="E99" s="61"/>
      <c r="F99" s="61"/>
    </row>
    <row r="100" spans="1:6" s="2" customFormat="1" ht="15">
      <c r="A100" s="1"/>
      <c r="B100" s="1"/>
      <c r="C100" s="1"/>
      <c r="D100" s="61"/>
      <c r="E100" s="61"/>
      <c r="F100" s="61"/>
    </row>
    <row r="101" spans="1:6" s="2" customFormat="1" ht="15">
      <c r="A101" s="1"/>
      <c r="B101" s="1"/>
      <c r="C101" s="1"/>
      <c r="D101" s="61"/>
      <c r="E101" s="61"/>
      <c r="F101" s="61"/>
    </row>
    <row r="102" spans="1:6" s="2" customFormat="1" ht="15">
      <c r="A102" s="1"/>
      <c r="B102" s="1"/>
      <c r="C102" s="1"/>
      <c r="D102" s="61"/>
      <c r="E102" s="61"/>
      <c r="F102" s="6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6:C46"/>
    <mergeCell ref="D46:E46"/>
    <mergeCell ref="B48:C48"/>
    <mergeCell ref="B52:E52"/>
    <mergeCell ref="B53:E53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7" t="s">
        <v>0</v>
      </c>
      <c r="F1" s="137"/>
      <c r="G1" s="137"/>
    </row>
    <row r="2" spans="1:7" ht="50.25" customHeight="1">
      <c r="A2" s="150" t="s">
        <v>107</v>
      </c>
      <c r="B2" s="150"/>
      <c r="C2" s="150"/>
      <c r="D2" s="150"/>
      <c r="E2" s="150"/>
      <c r="F2" s="150"/>
      <c r="G2" s="150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51" t="s">
        <v>108</v>
      </c>
      <c r="D4" s="151"/>
      <c r="E4" s="151"/>
      <c r="F4" s="69"/>
      <c r="G4" s="64"/>
    </row>
    <row r="5" spans="1:7" s="65" customFormat="1" ht="19.5">
      <c r="A5" s="63"/>
      <c r="B5" s="68" t="s">
        <v>4</v>
      </c>
      <c r="C5" s="152">
        <v>4</v>
      </c>
      <c r="D5" s="152"/>
      <c r="E5" s="152"/>
      <c r="F5" s="70"/>
      <c r="G5" s="64"/>
    </row>
    <row r="6" spans="1:7" s="65" customFormat="1" ht="19.5">
      <c r="A6" s="63"/>
      <c r="B6" s="71" t="s">
        <v>5</v>
      </c>
      <c r="C6" s="152">
        <v>7165.3</v>
      </c>
      <c r="D6" s="152"/>
      <c r="E6" s="152"/>
      <c r="F6" s="70"/>
      <c r="G6" s="64"/>
    </row>
    <row r="7" spans="1:7" s="65" customFormat="1" ht="19.5">
      <c r="A7" s="63"/>
      <c r="B7" s="71" t="s">
        <v>85</v>
      </c>
      <c r="C7" s="72">
        <v>840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53"/>
      <c r="D8" s="153"/>
      <c r="E8" s="153"/>
      <c r="F8" s="77"/>
      <c r="G8" s="64"/>
    </row>
    <row r="9" spans="1:7" s="65" customFormat="1" ht="18.75" customHeight="1">
      <c r="A9" s="63"/>
      <c r="B9" s="78" t="s">
        <v>87</v>
      </c>
      <c r="C9" s="79">
        <v>304200.31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7.91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12*D50</f>
        <v>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680130.2760000001</v>
      </c>
      <c r="D12" s="84">
        <f>C12/12</f>
        <v>56677.52300000001</v>
      </c>
      <c r="E12" s="28"/>
      <c r="F12" s="63"/>
      <c r="G12" s="64"/>
    </row>
    <row r="13" spans="1:7" ht="15">
      <c r="A13" s="156"/>
      <c r="B13" s="156"/>
      <c r="C13" s="156"/>
      <c r="D13" s="156"/>
      <c r="E13" s="156"/>
      <c r="F13" s="156"/>
      <c r="G13" s="156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33" t="s">
        <v>8</v>
      </c>
      <c r="B15" s="134" t="s">
        <v>9</v>
      </c>
      <c r="C15" s="135" t="s">
        <v>10</v>
      </c>
      <c r="D15" s="135" t="s">
        <v>11</v>
      </c>
      <c r="E15" s="135"/>
      <c r="F15" s="135" t="s">
        <v>12</v>
      </c>
      <c r="G15" s="136" t="s">
        <v>13</v>
      </c>
    </row>
    <row r="16" spans="1:7" ht="45" customHeight="1">
      <c r="A16" s="133"/>
      <c r="B16" s="134"/>
      <c r="C16" s="135"/>
      <c r="D16" s="14" t="s">
        <v>14</v>
      </c>
      <c r="E16" s="15" t="s">
        <v>15</v>
      </c>
      <c r="F16" s="135"/>
      <c r="G16" s="136"/>
    </row>
    <row r="17" spans="1:7" ht="27" customHeight="1">
      <c r="A17" s="16" t="s">
        <v>16</v>
      </c>
      <c r="B17" s="17" t="s">
        <v>17</v>
      </c>
      <c r="C17" s="19">
        <f>D17*C6</f>
        <v>33246.992</v>
      </c>
      <c r="D17" s="19">
        <v>4.64</v>
      </c>
      <c r="E17" s="19">
        <f>C17*12</f>
        <v>398963.904</v>
      </c>
      <c r="F17" s="19">
        <f aca="true" t="shared" si="0" ref="F17:F27">C17*12</f>
        <v>398963.904</v>
      </c>
      <c r="G17" s="20"/>
    </row>
    <row r="18" spans="1:7" ht="18.75">
      <c r="A18" s="24" t="s">
        <v>20</v>
      </c>
      <c r="B18" s="25" t="s">
        <v>21</v>
      </c>
      <c r="C18" s="19">
        <f>0.47*C6</f>
        <v>3367.6910000000003</v>
      </c>
      <c r="D18" s="19">
        <v>0.47</v>
      </c>
      <c r="E18" s="19">
        <f>C18*12</f>
        <v>40412.292</v>
      </c>
      <c r="F18" s="19">
        <f t="shared" si="0"/>
        <v>40412.292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0.18840802199489204</v>
      </c>
      <c r="E19" s="19">
        <f>C19*12</f>
        <v>16200</v>
      </c>
      <c r="F19" s="19">
        <f t="shared" si="0"/>
        <v>16200</v>
      </c>
      <c r="G19" s="26"/>
    </row>
    <row r="20" spans="1:7" ht="19.5" customHeight="1">
      <c r="A20" s="27" t="s">
        <v>24</v>
      </c>
      <c r="B20" s="28" t="s">
        <v>25</v>
      </c>
      <c r="C20" s="19">
        <f>E20/12</f>
        <v>111</v>
      </c>
      <c r="D20" s="19">
        <f>C20/C6</f>
        <v>0.015491326252913346</v>
      </c>
      <c r="E20" s="26">
        <v>1332</v>
      </c>
      <c r="F20" s="19">
        <f t="shared" si="0"/>
        <v>1332</v>
      </c>
      <c r="G20" s="26"/>
    </row>
    <row r="21" spans="1:7" ht="18.75">
      <c r="A21" s="27" t="s">
        <v>26</v>
      </c>
      <c r="B21" s="29" t="s">
        <v>27</v>
      </c>
      <c r="C21" s="19">
        <f>E21/12</f>
        <v>164.5</v>
      </c>
      <c r="D21" s="19">
        <f>C21/C6</f>
        <v>0.02295786638382203</v>
      </c>
      <c r="E21" s="19">
        <f>C7*2.35</f>
        <v>1974</v>
      </c>
      <c r="F21" s="19">
        <f t="shared" si="0"/>
        <v>1974</v>
      </c>
      <c r="G21" s="26"/>
    </row>
    <row r="22" spans="1:7" ht="16.5" customHeight="1">
      <c r="A22" s="27" t="s">
        <v>28</v>
      </c>
      <c r="B22" s="29" t="s">
        <v>91</v>
      </c>
      <c r="C22" s="19">
        <f>E22/12</f>
        <v>113.40000000000002</v>
      </c>
      <c r="D22" s="19">
        <f>C22/C6</f>
        <v>0.015826273847570935</v>
      </c>
      <c r="E22" s="19">
        <f>C7*1.62</f>
        <v>1360.8000000000002</v>
      </c>
      <c r="F22" s="19">
        <f t="shared" si="0"/>
        <v>1360.8000000000002</v>
      </c>
      <c r="G22" s="26"/>
    </row>
    <row r="23" spans="1:7" s="30" customFormat="1" ht="18.75">
      <c r="A23" s="27"/>
      <c r="B23" s="29" t="s">
        <v>66</v>
      </c>
      <c r="C23" s="19">
        <f>C12*0.12/12</f>
        <v>6801.30276</v>
      </c>
      <c r="D23" s="19">
        <f>C23/C6</f>
        <v>0.9491999999999999</v>
      </c>
      <c r="E23" s="26">
        <f>C12*0.12</f>
        <v>81615.63312</v>
      </c>
      <c r="F23" s="19">
        <f t="shared" si="0"/>
        <v>81615.63312</v>
      </c>
      <c r="G23" s="26"/>
    </row>
    <row r="24" spans="1:7" ht="37.5">
      <c r="A24" s="27"/>
      <c r="B24" s="29" t="s">
        <v>92</v>
      </c>
      <c r="C24" s="19">
        <f>C12*0.009/12</f>
        <v>510.0977070000001</v>
      </c>
      <c r="D24" s="19">
        <f>C24/C6</f>
        <v>0.07119000000000002</v>
      </c>
      <c r="E24" s="26">
        <f>C12*0.009</f>
        <v>6121.1724840000015</v>
      </c>
      <c r="F24" s="19">
        <f t="shared" si="0"/>
        <v>6121.1724840000015</v>
      </c>
      <c r="G24" s="26"/>
    </row>
    <row r="25" spans="1:7" s="30" customFormat="1" ht="21" customHeight="1">
      <c r="A25" s="27"/>
      <c r="B25" s="29" t="s">
        <v>93</v>
      </c>
      <c r="C25" s="19">
        <f>C12*0.025/12</f>
        <v>1416.9380750000003</v>
      </c>
      <c r="D25" s="19">
        <f>C25/C6</f>
        <v>0.19775000000000004</v>
      </c>
      <c r="E25" s="26">
        <f>C25*12</f>
        <v>17003.256900000004</v>
      </c>
      <c r="F25" s="19">
        <f t="shared" si="0"/>
        <v>17003.256900000004</v>
      </c>
      <c r="G25" s="26"/>
    </row>
    <row r="26" spans="1:7" s="37" customFormat="1" ht="20.25" customHeight="1">
      <c r="A26" s="32"/>
      <c r="B26" s="33" t="s">
        <v>109</v>
      </c>
      <c r="C26" s="34">
        <f>E26/12</f>
        <v>253.50025833333333</v>
      </c>
      <c r="D26" s="34">
        <f>E26/C6/12</f>
        <v>0.03537887573909443</v>
      </c>
      <c r="E26" s="35">
        <f>C9*0.01</f>
        <v>3042.0031</v>
      </c>
      <c r="F26" s="19">
        <f t="shared" si="0"/>
        <v>3042.0031</v>
      </c>
      <c r="G26" s="35"/>
    </row>
    <row r="27" spans="1:7" ht="18.75">
      <c r="A27" s="27"/>
      <c r="B27" s="29" t="s">
        <v>95</v>
      </c>
      <c r="C27" s="19">
        <v>3752.6</v>
      </c>
      <c r="D27" s="19">
        <f>E27/C6/12</f>
        <v>0.5237184765466902</v>
      </c>
      <c r="E27" s="26">
        <f>C27*12</f>
        <v>45031.2</v>
      </c>
      <c r="F27" s="19">
        <f t="shared" si="0"/>
        <v>45031.2</v>
      </c>
      <c r="G27" s="26"/>
    </row>
    <row r="28" spans="1:7" s="119" customFormat="1" ht="18.75">
      <c r="A28" s="118"/>
      <c r="B28" s="84" t="s">
        <v>96</v>
      </c>
      <c r="C28" s="18">
        <f>SUM(C17:C27)</f>
        <v>51088.02180033333</v>
      </c>
      <c r="D28" s="18">
        <f>SUM(D17:D27)</f>
        <v>7.129920840764983</v>
      </c>
      <c r="E28" s="18">
        <f>SUM(E17:E27)</f>
        <v>613056.2616039999</v>
      </c>
      <c r="F28" s="18">
        <f>SUM(F17:F27)</f>
        <v>613056.2616039999</v>
      </c>
      <c r="G28" s="99"/>
    </row>
    <row r="29" spans="1:7" s="30" customFormat="1" ht="19.5" customHeight="1">
      <c r="A29" s="27"/>
      <c r="B29" s="29"/>
      <c r="C29" s="19"/>
      <c r="D29" s="19"/>
      <c r="E29" s="26"/>
      <c r="F29" s="26"/>
      <c r="G29" s="26"/>
    </row>
    <row r="30" spans="1:7" s="30" customFormat="1" ht="19.5" customHeight="1">
      <c r="A30" s="27"/>
      <c r="B30" s="29"/>
      <c r="C30" s="19"/>
      <c r="D30" s="19"/>
      <c r="E30" s="26"/>
      <c r="F30" s="26"/>
      <c r="G30" s="26"/>
    </row>
    <row r="31" spans="1:7" ht="37.5">
      <c r="A31" s="27"/>
      <c r="B31" s="101" t="s">
        <v>97</v>
      </c>
      <c r="C31" s="102">
        <f>(C10-D28)*C6+D50</f>
        <v>5589.501199666667</v>
      </c>
      <c r="D31" s="102">
        <f>C31/C6</f>
        <v>0.7800791592350169</v>
      </c>
      <c r="E31" s="102">
        <f>C31*12</f>
        <v>67074.01439600001</v>
      </c>
      <c r="F31" s="102">
        <f>E31</f>
        <v>67074.01439600001</v>
      </c>
      <c r="G31" s="26"/>
    </row>
    <row r="32" spans="1:7" ht="18.75">
      <c r="A32" s="27"/>
      <c r="B32" s="29"/>
      <c r="C32" s="19"/>
      <c r="D32" s="19"/>
      <c r="E32" s="26"/>
      <c r="F32" s="26"/>
      <c r="G32" s="26"/>
    </row>
    <row r="33" spans="1:7" ht="18.75">
      <c r="A33" s="27"/>
      <c r="B33" s="29"/>
      <c r="C33" s="19"/>
      <c r="D33" s="19"/>
      <c r="E33" s="26"/>
      <c r="F33" s="26"/>
      <c r="G33" s="26"/>
    </row>
    <row r="34" spans="1:7" ht="18.75">
      <c r="A34" s="27"/>
      <c r="B34" s="29"/>
      <c r="C34" s="19"/>
      <c r="D34" s="19"/>
      <c r="E34" s="26"/>
      <c r="F34" s="26"/>
      <c r="G34" s="26"/>
    </row>
    <row r="35" spans="1:7" ht="18.75">
      <c r="A35" s="27"/>
      <c r="B35" s="29"/>
      <c r="C35" s="19"/>
      <c r="D35" s="19"/>
      <c r="E35" s="26"/>
      <c r="F35" s="26"/>
      <c r="G35" s="26"/>
    </row>
    <row r="36" spans="1:7" ht="18.75">
      <c r="A36" s="27"/>
      <c r="B36" s="29"/>
      <c r="C36" s="19"/>
      <c r="D36" s="19"/>
      <c r="E36" s="26"/>
      <c r="F36" s="26"/>
      <c r="G36" s="26"/>
    </row>
    <row r="37" spans="1:7" ht="19.5" customHeight="1">
      <c r="A37" s="27"/>
      <c r="B37" s="29"/>
      <c r="C37" s="19"/>
      <c r="D37" s="19"/>
      <c r="E37" s="26"/>
      <c r="F37" s="26"/>
      <c r="G37" s="26"/>
    </row>
    <row r="38" spans="1:7" ht="18.75">
      <c r="A38" s="27"/>
      <c r="B38" s="29"/>
      <c r="C38" s="19"/>
      <c r="D38" s="19"/>
      <c r="E38" s="26"/>
      <c r="F38" s="26"/>
      <c r="G38" s="26"/>
    </row>
    <row r="39" spans="1:7" ht="18.75">
      <c r="A39" s="27"/>
      <c r="B39" s="29"/>
      <c r="C39" s="19"/>
      <c r="D39" s="19"/>
      <c r="E39" s="26"/>
      <c r="F39" s="26"/>
      <c r="G39" s="26"/>
    </row>
    <row r="40" spans="1:7" ht="18.75">
      <c r="A40" s="27"/>
      <c r="B40" s="29"/>
      <c r="C40" s="19"/>
      <c r="D40" s="19"/>
      <c r="E40" s="26"/>
      <c r="F40" s="26"/>
      <c r="G40" s="26"/>
    </row>
    <row r="41" spans="1:7" ht="18.75">
      <c r="A41" s="27"/>
      <c r="B41" s="29"/>
      <c r="C41" s="19"/>
      <c r="D41" s="19"/>
      <c r="E41" s="26"/>
      <c r="F41" s="26"/>
      <c r="G41" s="26"/>
    </row>
    <row r="42" spans="1:7" ht="18.75">
      <c r="A42" s="24"/>
      <c r="B42" s="25"/>
      <c r="C42" s="18"/>
      <c r="D42" s="18"/>
      <c r="E42" s="18"/>
      <c r="F42" s="18"/>
      <c r="G42" s="18"/>
    </row>
    <row r="43" spans="1:7" ht="18.75">
      <c r="A43" s="27"/>
      <c r="B43" s="29"/>
      <c r="C43" s="19"/>
      <c r="D43" s="19"/>
      <c r="E43" s="26"/>
      <c r="F43" s="26"/>
      <c r="G43" s="26"/>
    </row>
    <row r="44" spans="1:7" ht="18.75">
      <c r="A44" s="38"/>
      <c r="B44" s="39"/>
      <c r="C44" s="18"/>
      <c r="D44" s="40"/>
      <c r="E44" s="41"/>
      <c r="F44" s="40"/>
      <c r="G44" s="40"/>
    </row>
    <row r="45" spans="1:7" ht="18.75">
      <c r="A45" s="42"/>
      <c r="B45" s="43"/>
      <c r="C45" s="18"/>
      <c r="D45" s="18"/>
      <c r="E45" s="41"/>
      <c r="F45" s="18"/>
      <c r="G45" s="18"/>
    </row>
    <row r="46" spans="1:7" ht="18.75">
      <c r="A46" s="42"/>
      <c r="B46" s="43"/>
      <c r="C46" s="44"/>
      <c r="D46" s="19"/>
      <c r="E46" s="44"/>
      <c r="F46" s="44"/>
      <c r="G46" s="45"/>
    </row>
    <row r="47" spans="1:7" ht="18.75">
      <c r="A47" s="24"/>
      <c r="B47" s="43"/>
      <c r="C47" s="18"/>
      <c r="D47" s="18"/>
      <c r="E47" s="18"/>
      <c r="F47" s="18"/>
      <c r="G47" s="18"/>
    </row>
    <row r="48" spans="1:7" ht="18.75" customHeight="1">
      <c r="A48" s="24"/>
      <c r="B48" s="129"/>
      <c r="C48" s="129"/>
      <c r="D48" s="130"/>
      <c r="E48" s="130"/>
      <c r="F48" s="46"/>
      <c r="G48" s="18"/>
    </row>
    <row r="49" spans="1:6" ht="15">
      <c r="A49" s="47"/>
      <c r="B49" s="47"/>
      <c r="C49" s="48"/>
      <c r="D49" s="48"/>
      <c r="E49" s="48"/>
      <c r="F49" s="48"/>
    </row>
    <row r="50" spans="1:4" ht="20.25">
      <c r="A50" s="47"/>
      <c r="B50" s="131" t="s">
        <v>73</v>
      </c>
      <c r="C50" s="131"/>
      <c r="D50" s="49">
        <f>C52/100*88</f>
        <v>0</v>
      </c>
    </row>
    <row r="51" spans="1:6" ht="15">
      <c r="A51" s="47"/>
      <c r="B51" s="47"/>
      <c r="C51" s="48"/>
      <c r="D51" s="48"/>
      <c r="E51" s="48"/>
      <c r="F51" s="48"/>
    </row>
    <row r="52" spans="1:7" ht="18.75">
      <c r="A52" s="50"/>
      <c r="B52" s="43" t="s">
        <v>74</v>
      </c>
      <c r="C52" s="108"/>
      <c r="D52" s="53"/>
      <c r="E52" s="53"/>
      <c r="F52" s="53"/>
      <c r="G52" s="54"/>
    </row>
    <row r="53" spans="1:7" ht="18.75">
      <c r="A53" s="50"/>
      <c r="B53" s="93" t="s">
        <v>75</v>
      </c>
      <c r="C53" s="59"/>
      <c r="D53" s="53"/>
      <c r="E53" s="53"/>
      <c r="F53" s="53"/>
      <c r="G53" s="54"/>
    </row>
    <row r="54" spans="1:7" ht="18.75">
      <c r="A54" s="50"/>
      <c r="B54" s="25" t="s">
        <v>76</v>
      </c>
      <c r="C54" s="59"/>
      <c r="D54" s="53"/>
      <c r="E54" s="53"/>
      <c r="F54" s="53"/>
      <c r="G54" s="54"/>
    </row>
    <row r="55" spans="1:7" ht="18.75">
      <c r="A55" s="50"/>
      <c r="B55" s="43" t="s">
        <v>77</v>
      </c>
      <c r="C55" s="59"/>
      <c r="D55" s="53"/>
      <c r="E55" s="53"/>
      <c r="F55" s="53"/>
      <c r="G55" s="54"/>
    </row>
    <row r="56" spans="1:7" ht="18.75">
      <c r="A56" s="50"/>
      <c r="B56" s="25" t="s">
        <v>78</v>
      </c>
      <c r="C56" s="58"/>
      <c r="D56" s="53"/>
      <c r="E56" s="53"/>
      <c r="F56" s="53"/>
      <c r="G56" s="54"/>
    </row>
    <row r="57" spans="1:7" ht="18.75">
      <c r="A57" s="50"/>
      <c r="B57" s="25" t="s">
        <v>80</v>
      </c>
      <c r="C57" s="59"/>
      <c r="D57" s="53"/>
      <c r="E57" s="53"/>
      <c r="F57" s="53"/>
      <c r="G57" s="54"/>
    </row>
    <row r="58" spans="1:7" ht="18.75">
      <c r="A58" s="50"/>
      <c r="B58" s="25" t="s">
        <v>81</v>
      </c>
      <c r="C58" s="59"/>
      <c r="D58" s="53"/>
      <c r="E58" s="53"/>
      <c r="F58" s="53"/>
      <c r="G58" s="54"/>
    </row>
    <row r="59" spans="1:7" ht="15">
      <c r="A59" s="50"/>
      <c r="B59" s="53"/>
      <c r="C59" s="53"/>
      <c r="D59" s="53"/>
      <c r="E59" s="54"/>
      <c r="F59" s="3"/>
      <c r="G59" s="3"/>
    </row>
    <row r="60" spans="1:7" ht="15">
      <c r="A60" s="50"/>
      <c r="B60" s="154"/>
      <c r="C60" s="154"/>
      <c r="D60" s="154"/>
      <c r="E60" s="154"/>
      <c r="F60" s="3"/>
      <c r="G60" s="3"/>
    </row>
    <row r="61" spans="1:7" ht="52.5" customHeight="1">
      <c r="A61" s="50"/>
      <c r="B61" s="155" t="s">
        <v>98</v>
      </c>
      <c r="C61" s="155"/>
      <c r="D61" s="155"/>
      <c r="E61" s="155"/>
      <c r="F61" s="3"/>
      <c r="G61" s="3"/>
    </row>
    <row r="62" spans="1:7" ht="48.75" customHeight="1">
      <c r="A62" s="60" t="s">
        <v>82</v>
      </c>
      <c r="B62" s="60"/>
      <c r="C62" s="61"/>
      <c r="D62" s="60"/>
      <c r="E62" s="53"/>
      <c r="F62" s="53"/>
      <c r="G62" s="54"/>
    </row>
    <row r="63" spans="1:6" ht="15">
      <c r="A63" s="47"/>
      <c r="B63" s="47"/>
      <c r="C63" s="61"/>
      <c r="D63" s="48"/>
      <c r="E63" s="48"/>
      <c r="F63" s="48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s="2" customFormat="1" ht="15">
      <c r="A69" s="62"/>
      <c r="B69" s="62"/>
      <c r="C69" s="61"/>
      <c r="D69" s="61"/>
      <c r="E69" s="61"/>
      <c r="F69" s="61"/>
    </row>
    <row r="70" spans="1:6" s="2" customFormat="1" ht="15">
      <c r="A70" s="62"/>
      <c r="B70" s="62"/>
      <c r="C70" s="61"/>
      <c r="D70" s="61"/>
      <c r="E70" s="61"/>
      <c r="F70" s="61"/>
    </row>
    <row r="71" spans="1:6" s="2" customFormat="1" ht="15">
      <c r="A71" s="62"/>
      <c r="B71" s="62"/>
      <c r="C71" s="61"/>
      <c r="D71" s="61"/>
      <c r="E71" s="61"/>
      <c r="F71" s="61"/>
    </row>
    <row r="72" spans="1:6" s="2" customFormat="1" ht="15">
      <c r="A72" s="62"/>
      <c r="B72" s="62"/>
      <c r="C72" s="61"/>
      <c r="D72" s="61"/>
      <c r="E72" s="61"/>
      <c r="F72" s="61"/>
    </row>
    <row r="73" spans="1:6" s="2" customFormat="1" ht="15">
      <c r="A73" s="62"/>
      <c r="B73" s="62"/>
      <c r="C73" s="61"/>
      <c r="D73" s="61"/>
      <c r="E73" s="61"/>
      <c r="F73" s="61"/>
    </row>
    <row r="74" spans="1:6" s="2" customFormat="1" ht="15">
      <c r="A74" s="62"/>
      <c r="B74" s="62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61"/>
      <c r="D98" s="61"/>
      <c r="E98" s="61"/>
      <c r="F98" s="61"/>
    </row>
    <row r="99" spans="1:6" s="2" customFormat="1" ht="15">
      <c r="A99" s="1"/>
      <c r="B99" s="1"/>
      <c r="C99" s="61"/>
      <c r="D99" s="61"/>
      <c r="E99" s="61"/>
      <c r="F99" s="61"/>
    </row>
    <row r="100" spans="1:6" s="2" customFormat="1" ht="15">
      <c r="A100" s="1"/>
      <c r="B100" s="1"/>
      <c r="C100" s="61"/>
      <c r="D100" s="61"/>
      <c r="E100" s="61"/>
      <c r="F100" s="61"/>
    </row>
    <row r="101" spans="1:6" s="2" customFormat="1" ht="15">
      <c r="A101" s="1"/>
      <c r="B101" s="1"/>
      <c r="C101" s="61"/>
      <c r="D101" s="61"/>
      <c r="E101" s="61"/>
      <c r="F101" s="61"/>
    </row>
    <row r="102" spans="1:6" s="2" customFormat="1" ht="15">
      <c r="A102" s="1"/>
      <c r="B102" s="1"/>
      <c r="C102" s="61"/>
      <c r="D102" s="61"/>
      <c r="E102" s="61"/>
      <c r="F102" s="61"/>
    </row>
    <row r="103" spans="1:6" s="2" customFormat="1" ht="15">
      <c r="A103" s="1"/>
      <c r="B103" s="1"/>
      <c r="C103" s="61"/>
      <c r="D103" s="61"/>
      <c r="E103" s="61"/>
      <c r="F103" s="61"/>
    </row>
    <row r="104" spans="1:6" s="2" customFormat="1" ht="15">
      <c r="A104" s="1"/>
      <c r="B104" s="1"/>
      <c r="C104" s="61"/>
      <c r="D104" s="61"/>
      <c r="E104" s="61"/>
      <c r="F104" s="61"/>
    </row>
    <row r="105" spans="1:6" s="2" customFormat="1" ht="15">
      <c r="A105" s="1"/>
      <c r="B105" s="1"/>
      <c r="C105" s="61"/>
      <c r="D105" s="61"/>
      <c r="E105" s="61"/>
      <c r="F105" s="61"/>
    </row>
    <row r="106" spans="1:6" s="2" customFormat="1" ht="15">
      <c r="A106" s="1"/>
      <c r="B106" s="1"/>
      <c r="C106" s="1"/>
      <c r="D106" s="61"/>
      <c r="E106" s="61"/>
      <c r="F106" s="61"/>
    </row>
    <row r="107" spans="1:6" s="2" customFormat="1" ht="15">
      <c r="A107" s="1"/>
      <c r="B107" s="1"/>
      <c r="C107" s="1"/>
      <c r="D107" s="61"/>
      <c r="E107" s="61"/>
      <c r="F107" s="61"/>
    </row>
    <row r="108" spans="1:6" s="2" customFormat="1" ht="15">
      <c r="A108" s="1"/>
      <c r="B108" s="1"/>
      <c r="C108" s="1"/>
      <c r="D108" s="61"/>
      <c r="E108" s="61"/>
      <c r="F108" s="61"/>
    </row>
    <row r="109" spans="1:6" s="2" customFormat="1" ht="15">
      <c r="A109" s="1"/>
      <c r="B109" s="1"/>
      <c r="C109" s="1"/>
      <c r="D109" s="61"/>
      <c r="E109" s="61"/>
      <c r="F109" s="61"/>
    </row>
    <row r="110" spans="1:6" s="2" customFormat="1" ht="15">
      <c r="A110" s="1"/>
      <c r="B110" s="1"/>
      <c r="C110" s="1"/>
      <c r="D110" s="61"/>
      <c r="E110" s="61"/>
      <c r="F110" s="6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9" t="s">
        <v>0</v>
      </c>
      <c r="F1" s="149"/>
      <c r="G1" s="149"/>
    </row>
    <row r="2" spans="1:7" ht="33.75" customHeight="1">
      <c r="A2" s="150" t="s">
        <v>110</v>
      </c>
      <c r="B2" s="150"/>
      <c r="C2" s="150"/>
      <c r="D2" s="150"/>
      <c r="E2" s="150"/>
      <c r="F2" s="150"/>
      <c r="G2" s="15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1" t="s">
        <v>84</v>
      </c>
      <c r="D4" s="151"/>
      <c r="E4" s="151"/>
      <c r="F4" s="69"/>
    </row>
    <row r="5" spans="2:6" ht="19.5">
      <c r="B5" s="68" t="s">
        <v>4</v>
      </c>
      <c r="C5" s="152">
        <v>9</v>
      </c>
      <c r="D5" s="152"/>
      <c r="E5" s="152"/>
      <c r="F5" s="70"/>
    </row>
    <row r="6" spans="2:6" ht="19.5">
      <c r="B6" s="71" t="s">
        <v>5</v>
      </c>
      <c r="C6" s="152">
        <v>18162.1</v>
      </c>
      <c r="D6" s="152"/>
      <c r="E6" s="152"/>
      <c r="F6" s="70"/>
    </row>
    <row r="7" spans="2:6" ht="19.5">
      <c r="B7" s="71" t="s">
        <v>85</v>
      </c>
      <c r="C7" s="72">
        <v>1890</v>
      </c>
      <c r="D7" s="73"/>
      <c r="E7" s="74"/>
      <c r="F7" s="70"/>
    </row>
    <row r="8" spans="2:6" ht="39">
      <c r="B8" s="75" t="s">
        <v>86</v>
      </c>
      <c r="C8" s="153"/>
      <c r="D8" s="153"/>
      <c r="E8" s="153"/>
      <c r="F8" s="77"/>
    </row>
    <row r="9" spans="2:6" ht="19.5">
      <c r="B9" s="78" t="s">
        <v>87</v>
      </c>
      <c r="C9" s="79">
        <v>1276985.93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1852534.1999999997</v>
      </c>
      <c r="D12" s="84">
        <f>C12/12</f>
        <v>154377.84999999998</v>
      </c>
      <c r="E12" s="28"/>
    </row>
    <row r="13" spans="1:7" ht="18.75">
      <c r="A13" s="145"/>
      <c r="B13" s="145"/>
      <c r="C13" s="145"/>
      <c r="D13" s="145"/>
      <c r="E13" s="145"/>
      <c r="F13" s="145"/>
      <c r="G13" s="145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6" t="s">
        <v>8</v>
      </c>
      <c r="B15" s="134" t="s">
        <v>9</v>
      </c>
      <c r="C15" s="147" t="s">
        <v>10</v>
      </c>
      <c r="D15" s="147" t="s">
        <v>11</v>
      </c>
      <c r="E15" s="147"/>
      <c r="F15" s="147" t="s">
        <v>12</v>
      </c>
      <c r="G15" s="148" t="s">
        <v>13</v>
      </c>
    </row>
    <row r="16" spans="1:7" ht="75">
      <c r="A16" s="146"/>
      <c r="B16" s="134"/>
      <c r="C16" s="147"/>
      <c r="D16" s="91" t="s">
        <v>14</v>
      </c>
      <c r="E16" s="91" t="s">
        <v>15</v>
      </c>
      <c r="F16" s="147"/>
      <c r="G16" s="148"/>
    </row>
    <row r="17" spans="1:7" ht="18.75">
      <c r="A17" s="92" t="s">
        <v>16</v>
      </c>
      <c r="B17" s="17" t="s">
        <v>17</v>
      </c>
      <c r="C17" s="19">
        <f>D17*C6</f>
        <v>84272.14399999999</v>
      </c>
      <c r="D17" s="19">
        <v>4.64</v>
      </c>
      <c r="E17" s="19">
        <f>C17*12</f>
        <v>1011265.7279999999</v>
      </c>
      <c r="F17" s="19">
        <f aca="true" t="shared" si="0" ref="F17:F27">C17*12</f>
        <v>1011265.7279999999</v>
      </c>
      <c r="G17" s="20"/>
    </row>
    <row r="18" spans="1:7" ht="18.75">
      <c r="A18" s="93" t="s">
        <v>20</v>
      </c>
      <c r="B18" s="25" t="s">
        <v>21</v>
      </c>
      <c r="C18" s="19">
        <f>0.47*C6</f>
        <v>8536.187</v>
      </c>
      <c r="D18" s="19">
        <v>0.47</v>
      </c>
      <c r="E18" s="19">
        <f>C18*12</f>
        <v>102434.244</v>
      </c>
      <c r="F18" s="19">
        <f t="shared" si="0"/>
        <v>102434.244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0.07433061154822405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0.006111628060631756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370.125</v>
      </c>
      <c r="D21" s="19">
        <f>C21/C6</f>
        <v>0.02037897599947143</v>
      </c>
      <c r="E21" s="19">
        <f>C7*2.35</f>
        <v>4441.5</v>
      </c>
      <c r="F21" s="19">
        <f t="shared" si="0"/>
        <v>4441.5</v>
      </c>
      <c r="G21" s="26"/>
    </row>
    <row r="22" spans="1:7" ht="18.75">
      <c r="A22" s="94" t="s">
        <v>28</v>
      </c>
      <c r="B22" s="29" t="s">
        <v>91</v>
      </c>
      <c r="C22" s="19">
        <f>E22/12</f>
        <v>255.15</v>
      </c>
      <c r="D22" s="19">
        <f>C22/C6</f>
        <v>0.014048485582614347</v>
      </c>
      <c r="E22" s="19">
        <f>C7*1.62</f>
        <v>3061.8</v>
      </c>
      <c r="F22" s="19">
        <f t="shared" si="0"/>
        <v>3061.8</v>
      </c>
      <c r="G22" s="26"/>
    </row>
    <row r="23" spans="1:7" s="95" customFormat="1" ht="18.75">
      <c r="A23" s="94"/>
      <c r="B23" s="29" t="s">
        <v>66</v>
      </c>
      <c r="C23" s="19">
        <f>C12*0.12/12</f>
        <v>18525.341999999997</v>
      </c>
      <c r="D23" s="19">
        <f>C23/C6</f>
        <v>1.02</v>
      </c>
      <c r="E23" s="26">
        <f>C12*0.12</f>
        <v>222304.10399999996</v>
      </c>
      <c r="F23" s="19">
        <f t="shared" si="0"/>
        <v>222304.10399999996</v>
      </c>
      <c r="G23" s="26"/>
    </row>
    <row r="24" spans="1:7" ht="37.5">
      <c r="A24" s="94"/>
      <c r="B24" s="29" t="s">
        <v>92</v>
      </c>
      <c r="C24" s="19">
        <f>C12*0.009/12</f>
        <v>1389.4006499999998</v>
      </c>
      <c r="D24" s="19">
        <f>C24/C6</f>
        <v>0.0765</v>
      </c>
      <c r="E24" s="26">
        <f>C12*0.009</f>
        <v>16672.8078</v>
      </c>
      <c r="F24" s="19">
        <f t="shared" si="0"/>
        <v>16672.8078</v>
      </c>
      <c r="G24" s="26"/>
    </row>
    <row r="25" spans="1:7" s="95" customFormat="1" ht="18.75">
      <c r="A25" s="94"/>
      <c r="B25" s="29" t="s">
        <v>93</v>
      </c>
      <c r="C25" s="19">
        <f>C12*0.025/12</f>
        <v>3859.4462499999995</v>
      </c>
      <c r="D25" s="19">
        <f>C25/C6</f>
        <v>0.2125</v>
      </c>
      <c r="E25" s="26">
        <f>C25*12</f>
        <v>46313.354999999996</v>
      </c>
      <c r="F25" s="19">
        <f t="shared" si="0"/>
        <v>46313.354999999996</v>
      </c>
      <c r="G25" s="26"/>
    </row>
    <row r="26" spans="1:7" s="97" customFormat="1" ht="18.75">
      <c r="A26" s="96"/>
      <c r="B26" s="33" t="s">
        <v>94</v>
      </c>
      <c r="C26" s="34">
        <f>E26/12</f>
        <v>1064.1549416666667</v>
      </c>
      <c r="D26" s="34">
        <f>E26/C6/12</f>
        <v>0.05859206488603558</v>
      </c>
      <c r="E26" s="35">
        <f>C9*0.01</f>
        <v>12769.8593</v>
      </c>
      <c r="F26" s="19">
        <f t="shared" si="0"/>
        <v>12769.8593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0.20661707621915967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123485.54984166664</v>
      </c>
      <c r="D28" s="18">
        <f>SUM(D17:D27)</f>
        <v>6.799078842296137</v>
      </c>
      <c r="E28" s="18">
        <f>SUM(E17:E27)</f>
        <v>1481826.5980999998</v>
      </c>
      <c r="F28" s="18">
        <f>SUM(F17:F27)</f>
        <v>1481826.5980999998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30892.300158333335</v>
      </c>
      <c r="D31" s="102">
        <f>C31/C6</f>
        <v>1.7009211577038634</v>
      </c>
      <c r="E31" s="102">
        <f>C31*12</f>
        <v>370707.6019</v>
      </c>
      <c r="F31" s="102">
        <f>E31</f>
        <v>370707.6019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29"/>
      <c r="C48" s="129"/>
      <c r="D48" s="130"/>
      <c r="E48" s="130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2" t="s">
        <v>73</v>
      </c>
      <c r="C50" s="142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3"/>
      <c r="C60" s="143"/>
      <c r="D60" s="143"/>
      <c r="E60" s="143"/>
      <c r="F60" s="65"/>
      <c r="G60" s="65"/>
    </row>
    <row r="61" spans="1:7" ht="54" customHeight="1">
      <c r="A61" s="107"/>
      <c r="B61" s="144" t="s">
        <v>98</v>
      </c>
      <c r="C61" s="144"/>
      <c r="D61" s="144"/>
      <c r="E61" s="144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9" t="s">
        <v>0</v>
      </c>
      <c r="F1" s="149"/>
      <c r="G1" s="149"/>
    </row>
    <row r="2" spans="1:7" ht="36.75" customHeight="1">
      <c r="A2" s="150" t="s">
        <v>111</v>
      </c>
      <c r="B2" s="150"/>
      <c r="C2" s="150"/>
      <c r="D2" s="150"/>
      <c r="E2" s="150"/>
      <c r="F2" s="150"/>
      <c r="G2" s="15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1" t="s">
        <v>84</v>
      </c>
      <c r="D4" s="151"/>
      <c r="E4" s="151"/>
      <c r="F4" s="69"/>
    </row>
    <row r="5" spans="2:6" ht="19.5">
      <c r="B5" s="68" t="s">
        <v>4</v>
      </c>
      <c r="C5" s="152">
        <v>7</v>
      </c>
      <c r="D5" s="152"/>
      <c r="E5" s="152"/>
      <c r="F5" s="70"/>
    </row>
    <row r="6" spans="2:6" ht="19.5">
      <c r="B6" s="71" t="s">
        <v>5</v>
      </c>
      <c r="C6" s="152">
        <v>12392.69</v>
      </c>
      <c r="D6" s="152"/>
      <c r="E6" s="152"/>
      <c r="F6" s="70"/>
    </row>
    <row r="7" spans="2:6" ht="19.5">
      <c r="B7" s="71" t="s">
        <v>85</v>
      </c>
      <c r="C7" s="72">
        <v>1470</v>
      </c>
      <c r="D7" s="73"/>
      <c r="E7" s="74"/>
      <c r="F7" s="70"/>
    </row>
    <row r="8" spans="2:6" ht="39">
      <c r="B8" s="75" t="s">
        <v>86</v>
      </c>
      <c r="C8" s="153"/>
      <c r="D8" s="153"/>
      <c r="E8" s="153"/>
      <c r="F8" s="77"/>
    </row>
    <row r="9" spans="2:6" ht="19.5">
      <c r="B9" s="78" t="s">
        <v>87</v>
      </c>
      <c r="C9" s="79">
        <v>547658.41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1264054.3800000001</v>
      </c>
      <c r="D12" s="84">
        <f>C12/12</f>
        <v>105337.865</v>
      </c>
      <c r="E12" s="28"/>
    </row>
    <row r="13" spans="1:7" ht="18.75">
      <c r="A13" s="145"/>
      <c r="B13" s="145"/>
      <c r="C13" s="145"/>
      <c r="D13" s="145"/>
      <c r="E13" s="145"/>
      <c r="F13" s="145"/>
      <c r="G13" s="145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6" t="s">
        <v>8</v>
      </c>
      <c r="B15" s="134" t="s">
        <v>9</v>
      </c>
      <c r="C15" s="147" t="s">
        <v>10</v>
      </c>
      <c r="D15" s="147" t="s">
        <v>11</v>
      </c>
      <c r="E15" s="147"/>
      <c r="F15" s="147" t="s">
        <v>12</v>
      </c>
      <c r="G15" s="148" t="s">
        <v>13</v>
      </c>
    </row>
    <row r="16" spans="1:7" ht="75">
      <c r="A16" s="146"/>
      <c r="B16" s="134"/>
      <c r="C16" s="147"/>
      <c r="D16" s="91" t="s">
        <v>14</v>
      </c>
      <c r="E16" s="91" t="s">
        <v>15</v>
      </c>
      <c r="F16" s="147"/>
      <c r="G16" s="148"/>
    </row>
    <row r="17" spans="1:7" ht="18.75">
      <c r="A17" s="92" t="s">
        <v>16</v>
      </c>
      <c r="B17" s="17" t="s">
        <v>17</v>
      </c>
      <c r="C17" s="19">
        <f>D17*C6</f>
        <v>57502.0816</v>
      </c>
      <c r="D17" s="19">
        <v>4.64</v>
      </c>
      <c r="E17" s="19">
        <f>C17*12</f>
        <v>690024.9792</v>
      </c>
      <c r="F17" s="19">
        <f aca="true" t="shared" si="0" ref="F17:F27">C17*12</f>
        <v>690024.9792</v>
      </c>
      <c r="G17" s="20"/>
    </row>
    <row r="18" spans="1:7" ht="18.75">
      <c r="A18" s="93" t="s">
        <v>20</v>
      </c>
      <c r="B18" s="25" t="s">
        <v>21</v>
      </c>
      <c r="C18" s="19">
        <f>0.47*C6</f>
        <v>5824.564300000001</v>
      </c>
      <c r="D18" s="19">
        <v>0.47</v>
      </c>
      <c r="E18" s="19">
        <f>C18*12</f>
        <v>69894.77160000001</v>
      </c>
      <c r="F18" s="19">
        <f t="shared" si="0"/>
        <v>69894.77160000001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0.10893518679156824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0.008956893136195613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287.875</v>
      </c>
      <c r="D21" s="19">
        <f>C21/C6</f>
        <v>0.02322941992416497</v>
      </c>
      <c r="E21" s="19">
        <f>C7*2.35</f>
        <v>3454.5</v>
      </c>
      <c r="F21" s="19">
        <f t="shared" si="0"/>
        <v>3454.5</v>
      </c>
      <c r="G21" s="26"/>
    </row>
    <row r="22" spans="1:7" ht="18.75">
      <c r="A22" s="94" t="s">
        <v>28</v>
      </c>
      <c r="B22" s="29" t="s">
        <v>91</v>
      </c>
      <c r="C22" s="19">
        <f>E22/12</f>
        <v>198.45000000000002</v>
      </c>
      <c r="D22" s="19">
        <f>C22/C6</f>
        <v>0.016013472458360534</v>
      </c>
      <c r="E22" s="19">
        <f>C7*1.62</f>
        <v>2381.4</v>
      </c>
      <c r="F22" s="19">
        <f t="shared" si="0"/>
        <v>2381.4</v>
      </c>
      <c r="G22" s="26"/>
    </row>
    <row r="23" spans="1:7" s="95" customFormat="1" ht="18.75">
      <c r="A23" s="94"/>
      <c r="B23" s="29" t="s">
        <v>66</v>
      </c>
      <c r="C23" s="19">
        <f>C12*0.12/12</f>
        <v>12640.543800000001</v>
      </c>
      <c r="D23" s="19">
        <f>C23/C6</f>
        <v>1.02</v>
      </c>
      <c r="E23" s="26">
        <f>C12*0.12</f>
        <v>151686.52560000002</v>
      </c>
      <c r="F23" s="19">
        <f t="shared" si="0"/>
        <v>151686.52560000002</v>
      </c>
      <c r="G23" s="26"/>
    </row>
    <row r="24" spans="1:7" ht="37.5">
      <c r="A24" s="94"/>
      <c r="B24" s="29" t="s">
        <v>92</v>
      </c>
      <c r="C24" s="19">
        <f>C12*0.009/12</f>
        <v>948.0407850000001</v>
      </c>
      <c r="D24" s="19">
        <f>C24/C6</f>
        <v>0.07650000000000001</v>
      </c>
      <c r="E24" s="26">
        <f>C12*0.009</f>
        <v>11376.489420000002</v>
      </c>
      <c r="F24" s="19">
        <f t="shared" si="0"/>
        <v>11376.489420000002</v>
      </c>
      <c r="G24" s="26"/>
    </row>
    <row r="25" spans="1:7" s="95" customFormat="1" ht="18.75">
      <c r="A25" s="94"/>
      <c r="B25" s="29" t="s">
        <v>93</v>
      </c>
      <c r="C25" s="19">
        <f>C12*0.025/12</f>
        <v>2633.4466250000005</v>
      </c>
      <c r="D25" s="19">
        <f>C25/C6</f>
        <v>0.21250000000000002</v>
      </c>
      <c r="E25" s="26">
        <f>C25*12</f>
        <v>31601.359500000006</v>
      </c>
      <c r="F25" s="19">
        <f t="shared" si="0"/>
        <v>31601.359500000006</v>
      </c>
      <c r="G25" s="26"/>
    </row>
    <row r="26" spans="1:7" s="97" customFormat="1" ht="18.75">
      <c r="A26" s="96"/>
      <c r="B26" s="33" t="s">
        <v>94</v>
      </c>
      <c r="C26" s="34">
        <f>E26/12</f>
        <v>456.3820083333333</v>
      </c>
      <c r="D26" s="34">
        <f>E26/C6/12</f>
        <v>0.036826710611927944</v>
      </c>
      <c r="E26" s="35">
        <f>C9*0.01</f>
        <v>5476.5841</v>
      </c>
      <c r="F26" s="19">
        <f t="shared" si="0"/>
        <v>5476.5841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0.302807542188177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85704.98411833333</v>
      </c>
      <c r="D28" s="18">
        <f>SUM(D17:D27)</f>
        <v>6.915769225110394</v>
      </c>
      <c r="E28" s="18">
        <f>SUM(E17:E27)</f>
        <v>1028459.80942</v>
      </c>
      <c r="F28" s="18">
        <f>SUM(F17:F27)</f>
        <v>1028459.80942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19632.880881666668</v>
      </c>
      <c r="D31" s="102">
        <f>C31/C6</f>
        <v>1.5842307748896056</v>
      </c>
      <c r="E31" s="102">
        <f>C31*12</f>
        <v>235594.57058</v>
      </c>
      <c r="F31" s="102">
        <f>E31</f>
        <v>235594.57058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29"/>
      <c r="C48" s="129"/>
      <c r="D48" s="130"/>
      <c r="E48" s="130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2" t="s">
        <v>73</v>
      </c>
      <c r="C50" s="142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3"/>
      <c r="C60" s="143"/>
      <c r="D60" s="143"/>
      <c r="E60" s="143"/>
      <c r="F60" s="65"/>
      <c r="G60" s="65"/>
    </row>
    <row r="61" spans="1:7" ht="56.25" customHeight="1">
      <c r="A61" s="107"/>
      <c r="B61" s="144" t="s">
        <v>98</v>
      </c>
      <c r="C61" s="144"/>
      <c r="D61" s="144"/>
      <c r="E61" s="144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9" t="s">
        <v>0</v>
      </c>
      <c r="F1" s="149"/>
      <c r="G1" s="149"/>
    </row>
    <row r="2" spans="1:7" ht="36.75" customHeight="1">
      <c r="A2" s="150" t="s">
        <v>112</v>
      </c>
      <c r="B2" s="150"/>
      <c r="C2" s="150"/>
      <c r="D2" s="150"/>
      <c r="E2" s="150"/>
      <c r="F2" s="150"/>
      <c r="G2" s="15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1" t="s">
        <v>84</v>
      </c>
      <c r="D4" s="151"/>
      <c r="E4" s="151"/>
      <c r="F4" s="69"/>
    </row>
    <row r="5" spans="2:6" ht="19.5">
      <c r="B5" s="68" t="s">
        <v>4</v>
      </c>
      <c r="C5" s="152">
        <v>5</v>
      </c>
      <c r="D5" s="152"/>
      <c r="E5" s="152"/>
      <c r="F5" s="70"/>
    </row>
    <row r="6" spans="2:6" ht="19.5">
      <c r="B6" s="71" t="s">
        <v>5</v>
      </c>
      <c r="C6" s="152">
        <v>9285.86</v>
      </c>
      <c r="D6" s="152"/>
      <c r="E6" s="152"/>
      <c r="F6" s="70"/>
    </row>
    <row r="7" spans="2:6" ht="19.5">
      <c r="B7" s="71" t="s">
        <v>85</v>
      </c>
      <c r="C7" s="72">
        <v>1050</v>
      </c>
      <c r="D7" s="73"/>
      <c r="E7" s="74"/>
      <c r="F7" s="70"/>
    </row>
    <row r="8" spans="2:6" ht="39">
      <c r="B8" s="75" t="s">
        <v>86</v>
      </c>
      <c r="C8" s="153"/>
      <c r="D8" s="153"/>
      <c r="E8" s="153"/>
      <c r="F8" s="77"/>
    </row>
    <row r="9" spans="2:6" ht="19.5">
      <c r="B9" s="78" t="s">
        <v>87</v>
      </c>
      <c r="C9" s="79">
        <v>1148962.56</v>
      </c>
      <c r="D9" s="80"/>
      <c r="E9" s="81"/>
      <c r="F9" s="77"/>
    </row>
    <row r="10" spans="2:5" ht="18.75">
      <c r="B10" s="82" t="s">
        <v>88</v>
      </c>
      <c r="C10" s="83">
        <v>9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1002872.8800000001</v>
      </c>
      <c r="D12" s="84">
        <f>C12/12</f>
        <v>83572.74</v>
      </c>
      <c r="E12" s="28"/>
    </row>
    <row r="13" spans="1:7" ht="18.75">
      <c r="A13" s="145"/>
      <c r="B13" s="145"/>
      <c r="C13" s="145"/>
      <c r="D13" s="145"/>
      <c r="E13" s="145"/>
      <c r="F13" s="145"/>
      <c r="G13" s="145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6" t="s">
        <v>8</v>
      </c>
      <c r="B15" s="134" t="s">
        <v>9</v>
      </c>
      <c r="C15" s="147" t="s">
        <v>10</v>
      </c>
      <c r="D15" s="147" t="s">
        <v>11</v>
      </c>
      <c r="E15" s="147"/>
      <c r="F15" s="147" t="s">
        <v>12</v>
      </c>
      <c r="G15" s="148" t="s">
        <v>13</v>
      </c>
    </row>
    <row r="16" spans="1:7" ht="75">
      <c r="A16" s="146"/>
      <c r="B16" s="134"/>
      <c r="C16" s="147"/>
      <c r="D16" s="91" t="s">
        <v>14</v>
      </c>
      <c r="E16" s="91" t="s">
        <v>15</v>
      </c>
      <c r="F16" s="147"/>
      <c r="G16" s="148"/>
    </row>
    <row r="17" spans="1:7" ht="18.75">
      <c r="A17" s="92" t="s">
        <v>16</v>
      </c>
      <c r="B17" s="17" t="s">
        <v>17</v>
      </c>
      <c r="C17" s="19">
        <f>D17*C6</f>
        <v>43086.3904</v>
      </c>
      <c r="D17" s="19">
        <v>4.64</v>
      </c>
      <c r="E17" s="19">
        <f>C17*12</f>
        <v>517036.68479999993</v>
      </c>
      <c r="F17" s="19">
        <f aca="true" t="shared" si="0" ref="F17:F27">C17*12</f>
        <v>517036.68479999993</v>
      </c>
      <c r="G17" s="20"/>
    </row>
    <row r="18" spans="1:7" ht="18.75">
      <c r="A18" s="93" t="s">
        <v>20</v>
      </c>
      <c r="B18" s="25" t="s">
        <v>21</v>
      </c>
      <c r="C18" s="19">
        <f>0.47*C6</f>
        <v>4364.354200000001</v>
      </c>
      <c r="D18" s="19">
        <v>0.47</v>
      </c>
      <c r="E18" s="19">
        <f>C18*12</f>
        <v>52372.250400000004</v>
      </c>
      <c r="F18" s="19">
        <f t="shared" si="0"/>
        <v>52372.250400000004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0.1453823340002972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0.011953658573357772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205.625</v>
      </c>
      <c r="D21" s="19">
        <f>C21/C6</f>
        <v>0.022143883280600827</v>
      </c>
      <c r="E21" s="19">
        <f>C7*2.35</f>
        <v>2467.5</v>
      </c>
      <c r="F21" s="19">
        <f t="shared" si="0"/>
        <v>2467.5</v>
      </c>
      <c r="G21" s="26"/>
    </row>
    <row r="22" spans="1:7" ht="18.75">
      <c r="A22" s="94" t="s">
        <v>28</v>
      </c>
      <c r="B22" s="29" t="s">
        <v>91</v>
      </c>
      <c r="C22" s="19">
        <f>E22/12</f>
        <v>141.75</v>
      </c>
      <c r="D22" s="19">
        <f>E22/C6</f>
        <v>0.1831817408403745</v>
      </c>
      <c r="E22" s="19">
        <f>C7*1.62</f>
        <v>1701</v>
      </c>
      <c r="F22" s="19">
        <f t="shared" si="0"/>
        <v>1701</v>
      </c>
      <c r="G22" s="26"/>
    </row>
    <row r="23" spans="1:7" s="95" customFormat="1" ht="18.75">
      <c r="A23" s="94"/>
      <c r="B23" s="29" t="s">
        <v>66</v>
      </c>
      <c r="C23" s="19">
        <f>C12*0.12/12</f>
        <v>10028.7288</v>
      </c>
      <c r="D23" s="19">
        <f>C23/C6</f>
        <v>1.08</v>
      </c>
      <c r="E23" s="26">
        <f>C12*0.12</f>
        <v>120344.74560000001</v>
      </c>
      <c r="F23" s="19">
        <f t="shared" si="0"/>
        <v>120344.74560000001</v>
      </c>
      <c r="G23" s="26"/>
    </row>
    <row r="24" spans="1:7" ht="37.5">
      <c r="A24" s="94"/>
      <c r="B24" s="29" t="s">
        <v>92</v>
      </c>
      <c r="C24" s="19">
        <f>C12*0.009/12</f>
        <v>752.1546600000001</v>
      </c>
      <c r="D24" s="19">
        <f>C24/C6</f>
        <v>0.08100000000000002</v>
      </c>
      <c r="E24" s="26">
        <f>C12*0.009</f>
        <v>9025.855920000002</v>
      </c>
      <c r="F24" s="19">
        <f t="shared" si="0"/>
        <v>9025.855920000002</v>
      </c>
      <c r="G24" s="26"/>
    </row>
    <row r="25" spans="1:7" s="95" customFormat="1" ht="18.75">
      <c r="A25" s="94"/>
      <c r="B25" s="29" t="s">
        <v>93</v>
      </c>
      <c r="C25" s="19">
        <f>C12*0.025/12</f>
        <v>2089.3185000000003</v>
      </c>
      <c r="D25" s="19">
        <f>C25/C6</f>
        <v>0.22500000000000003</v>
      </c>
      <c r="E25" s="26">
        <f>C25*12</f>
        <v>25071.822000000004</v>
      </c>
      <c r="F25" s="19">
        <f t="shared" si="0"/>
        <v>25071.822000000004</v>
      </c>
      <c r="G25" s="26"/>
    </row>
    <row r="26" spans="1:7" s="97" customFormat="1" ht="18.75">
      <c r="A26" s="96"/>
      <c r="B26" s="33" t="s">
        <v>94</v>
      </c>
      <c r="C26" s="34">
        <f>E26/12</f>
        <v>957.4688000000001</v>
      </c>
      <c r="D26" s="34">
        <f>E26/C6/12</f>
        <v>0.10311040657515837</v>
      </c>
      <c r="E26" s="35">
        <f>C9*0.01</f>
        <v>11489.625600000001</v>
      </c>
      <c r="F26" s="19">
        <f t="shared" si="0"/>
        <v>11489.625600000001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0.4041198122737151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66839.39036</v>
      </c>
      <c r="D28" s="18">
        <f>SUM(D17:D27)</f>
        <v>7.365891835543502</v>
      </c>
      <c r="E28" s="18">
        <f>SUM(E17:E27)</f>
        <v>802072.68432</v>
      </c>
      <c r="F28" s="18">
        <f>SUM(F17:F27)</f>
        <v>802072.68432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15174.099640000015</v>
      </c>
      <c r="D31" s="102">
        <f>C31/C6</f>
        <v>1.6341081644564976</v>
      </c>
      <c r="E31" s="102">
        <f>C31*12</f>
        <v>182089.19568000018</v>
      </c>
      <c r="F31" s="102">
        <f>E31</f>
        <v>182089.19568000018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29"/>
      <c r="C48" s="129"/>
      <c r="D48" s="130"/>
      <c r="E48" s="130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2" t="s">
        <v>73</v>
      </c>
      <c r="C50" s="142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3"/>
      <c r="C60" s="143"/>
      <c r="D60" s="143"/>
      <c r="E60" s="143"/>
      <c r="F60" s="65"/>
      <c r="G60" s="65"/>
    </row>
    <row r="61" spans="1:7" ht="63" customHeight="1">
      <c r="A61" s="107"/>
      <c r="B61" s="144" t="s">
        <v>98</v>
      </c>
      <c r="C61" s="144"/>
      <c r="D61" s="144"/>
      <c r="E61" s="144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9" t="s">
        <v>0</v>
      </c>
      <c r="F1" s="149"/>
      <c r="G1" s="149"/>
    </row>
    <row r="2" spans="1:7" ht="36.75" customHeight="1">
      <c r="A2" s="150" t="s">
        <v>113</v>
      </c>
      <c r="B2" s="150"/>
      <c r="C2" s="150"/>
      <c r="D2" s="150"/>
      <c r="E2" s="150"/>
      <c r="F2" s="150"/>
      <c r="G2" s="15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1" t="s">
        <v>84</v>
      </c>
      <c r="D4" s="151"/>
      <c r="E4" s="151"/>
      <c r="F4" s="69"/>
    </row>
    <row r="5" spans="2:6" ht="19.5">
      <c r="B5" s="68" t="s">
        <v>4</v>
      </c>
      <c r="C5" s="152">
        <v>1</v>
      </c>
      <c r="D5" s="152"/>
      <c r="E5" s="152"/>
      <c r="F5" s="70"/>
    </row>
    <row r="6" spans="2:6" ht="19.5">
      <c r="B6" s="71" t="s">
        <v>5</v>
      </c>
      <c r="C6" s="152">
        <v>3183</v>
      </c>
      <c r="D6" s="152"/>
      <c r="E6" s="152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53"/>
      <c r="D8" s="153"/>
      <c r="E8" s="153"/>
      <c r="F8" s="77"/>
    </row>
    <row r="9" spans="2:6" ht="19.5">
      <c r="B9" s="78" t="s">
        <v>87</v>
      </c>
      <c r="C9" s="79">
        <v>783008.28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324666</v>
      </c>
      <c r="D12" s="84">
        <f>C12/12</f>
        <v>27055.5</v>
      </c>
      <c r="E12" s="28"/>
    </row>
    <row r="13" spans="1:7" ht="18.75">
      <c r="A13" s="145"/>
      <c r="B13" s="145"/>
      <c r="C13" s="145"/>
      <c r="D13" s="145"/>
      <c r="E13" s="145"/>
      <c r="F13" s="145"/>
      <c r="G13" s="145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6" t="s">
        <v>8</v>
      </c>
      <c r="B15" s="134" t="s">
        <v>9</v>
      </c>
      <c r="C15" s="147" t="s">
        <v>10</v>
      </c>
      <c r="D15" s="147" t="s">
        <v>11</v>
      </c>
      <c r="E15" s="147"/>
      <c r="F15" s="147" t="s">
        <v>12</v>
      </c>
      <c r="G15" s="148" t="s">
        <v>13</v>
      </c>
    </row>
    <row r="16" spans="1:7" ht="75">
      <c r="A16" s="146"/>
      <c r="B16" s="134"/>
      <c r="C16" s="147"/>
      <c r="D16" s="91" t="s">
        <v>14</v>
      </c>
      <c r="E16" s="91" t="s">
        <v>15</v>
      </c>
      <c r="F16" s="147"/>
      <c r="G16" s="148"/>
    </row>
    <row r="17" spans="1:7" ht="18.75">
      <c r="A17" s="92" t="s">
        <v>16</v>
      </c>
      <c r="B17" s="17" t="s">
        <v>17</v>
      </c>
      <c r="C17" s="19">
        <f>D17*C6</f>
        <v>14769.119999999999</v>
      </c>
      <c r="D17" s="19">
        <v>4.64</v>
      </c>
      <c r="E17" s="19">
        <f>C17*12</f>
        <v>177229.44</v>
      </c>
      <c r="F17" s="19">
        <f aca="true" t="shared" si="0" ref="F17:F27">C17*12</f>
        <v>177229.44</v>
      </c>
      <c r="G17" s="20"/>
    </row>
    <row r="18" spans="1:7" ht="18.75">
      <c r="A18" s="93" t="s">
        <v>20</v>
      </c>
      <c r="B18" s="25" t="s">
        <v>21</v>
      </c>
      <c r="C18" s="19">
        <f>0.47*C6</f>
        <v>1496.01</v>
      </c>
      <c r="D18" s="19">
        <v>0.47</v>
      </c>
      <c r="E18" s="19">
        <f>C18*12</f>
        <v>17952.12</v>
      </c>
      <c r="F18" s="19">
        <f t="shared" si="0"/>
        <v>17952.12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0.42412818096135724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0.034872761545711596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0.025225154466436278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E22/C6</f>
        <v>0.20867106503298777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3246.66</v>
      </c>
      <c r="D23" s="19">
        <f>C23/C6</f>
        <v>1.02</v>
      </c>
      <c r="E23" s="26">
        <f>C12*0.12</f>
        <v>38959.92</v>
      </c>
      <c r="F23" s="19">
        <f t="shared" si="0"/>
        <v>38959.92</v>
      </c>
      <c r="G23" s="26"/>
    </row>
    <row r="24" spans="1:7" ht="37.5">
      <c r="A24" s="94"/>
      <c r="B24" s="29" t="s">
        <v>92</v>
      </c>
      <c r="C24" s="19">
        <f>C12*0.009/12</f>
        <v>243.4995</v>
      </c>
      <c r="D24" s="19">
        <f>C24/C6</f>
        <v>0.0765</v>
      </c>
      <c r="E24" s="26">
        <f>C12*0.009</f>
        <v>2921.994</v>
      </c>
      <c r="F24" s="19">
        <f t="shared" si="0"/>
        <v>2921.994</v>
      </c>
      <c r="G24" s="26"/>
    </row>
    <row r="25" spans="1:7" s="95" customFormat="1" ht="18.75">
      <c r="A25" s="94"/>
      <c r="B25" s="29" t="s">
        <v>93</v>
      </c>
      <c r="C25" s="19">
        <f>C12*0.025/12</f>
        <v>676.3875</v>
      </c>
      <c r="D25" s="19">
        <f>C25/C6</f>
        <v>0.21250000000000002</v>
      </c>
      <c r="E25" s="26">
        <f>C25*12</f>
        <v>8116.650000000001</v>
      </c>
      <c r="F25" s="19">
        <f t="shared" si="0"/>
        <v>8116.650000000001</v>
      </c>
      <c r="G25" s="26"/>
    </row>
    <row r="26" spans="1:7" s="97" customFormat="1" ht="18.75">
      <c r="A26" s="96"/>
      <c r="B26" s="33" t="s">
        <v>94</v>
      </c>
      <c r="C26" s="34">
        <f>E26/12</f>
        <v>652.5069</v>
      </c>
      <c r="D26" s="34">
        <f>E26/C6/12</f>
        <v>0.20499745523091426</v>
      </c>
      <c r="E26" s="35">
        <f>C9*0.01</f>
        <v>7830.0828</v>
      </c>
      <c r="F26" s="19">
        <f t="shared" si="0"/>
        <v>7830.0828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1.1789506754633992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26433.425566666665</v>
      </c>
      <c r="D28" s="18">
        <f>SUM(D17:D27)</f>
        <v>8.495845292700807</v>
      </c>
      <c r="E28" s="18">
        <f>SUM(E17:E27)</f>
        <v>317201.1068</v>
      </c>
      <c r="F28" s="18">
        <f>SUM(F17:F27)</f>
        <v>317201.1068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13.224433333331973</v>
      </c>
      <c r="D31" s="102">
        <f>C31/C6</f>
        <v>0.0041547072991932055</v>
      </c>
      <c r="E31" s="102">
        <f>C31*12</f>
        <v>158.69319999998368</v>
      </c>
      <c r="F31" s="102">
        <f>E31</f>
        <v>158.69319999998368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29"/>
      <c r="C48" s="129"/>
      <c r="D48" s="130"/>
      <c r="E48" s="130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2" t="s">
        <v>73</v>
      </c>
      <c r="C50" s="142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3"/>
      <c r="C60" s="143"/>
      <c r="D60" s="143"/>
      <c r="E60" s="143"/>
      <c r="F60" s="65"/>
      <c r="G60" s="65"/>
    </row>
    <row r="61" spans="1:7" ht="56.25" customHeight="1">
      <c r="A61" s="107"/>
      <c r="B61" s="144" t="s">
        <v>98</v>
      </c>
      <c r="C61" s="144"/>
      <c r="D61" s="144"/>
      <c r="E61" s="144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9" t="s">
        <v>0</v>
      </c>
      <c r="F1" s="149"/>
      <c r="G1" s="149"/>
    </row>
    <row r="2" spans="1:7" ht="37.5" customHeight="1">
      <c r="A2" s="150" t="s">
        <v>114</v>
      </c>
      <c r="B2" s="150"/>
      <c r="C2" s="150"/>
      <c r="D2" s="150"/>
      <c r="E2" s="150"/>
      <c r="F2" s="150"/>
      <c r="G2" s="15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1" t="s">
        <v>84</v>
      </c>
      <c r="D4" s="151"/>
      <c r="E4" s="151"/>
      <c r="F4" s="69"/>
    </row>
    <row r="5" spans="2:6" ht="19.5">
      <c r="B5" s="68" t="s">
        <v>4</v>
      </c>
      <c r="C5" s="152">
        <v>1</v>
      </c>
      <c r="D5" s="152"/>
      <c r="E5" s="152"/>
      <c r="F5" s="70"/>
    </row>
    <row r="6" spans="2:6" ht="19.5">
      <c r="B6" s="71" t="s">
        <v>5</v>
      </c>
      <c r="C6" s="152">
        <v>3259.2</v>
      </c>
      <c r="D6" s="152"/>
      <c r="E6" s="152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53"/>
      <c r="D8" s="153"/>
      <c r="E8" s="153"/>
      <c r="F8" s="77"/>
    </row>
    <row r="9" spans="2:6" ht="19.5">
      <c r="B9" s="78" t="s">
        <v>87</v>
      </c>
      <c r="C9" s="79">
        <v>310744.3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371548.8</v>
      </c>
      <c r="D12" s="84">
        <f>C12/12</f>
        <v>30962.399999999998</v>
      </c>
      <c r="E12" s="28"/>
    </row>
    <row r="13" spans="1:7" ht="18.75">
      <c r="A13" s="145"/>
      <c r="B13" s="145"/>
      <c r="C13" s="145"/>
      <c r="D13" s="145"/>
      <c r="E13" s="145"/>
      <c r="F13" s="145"/>
      <c r="G13" s="145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6" t="s">
        <v>8</v>
      </c>
      <c r="B15" s="134" t="s">
        <v>9</v>
      </c>
      <c r="C15" s="147" t="s">
        <v>10</v>
      </c>
      <c r="D15" s="147" t="s">
        <v>11</v>
      </c>
      <c r="E15" s="147"/>
      <c r="F15" s="147" t="s">
        <v>12</v>
      </c>
      <c r="G15" s="148" t="s">
        <v>13</v>
      </c>
    </row>
    <row r="16" spans="1:7" ht="75">
      <c r="A16" s="146"/>
      <c r="B16" s="134"/>
      <c r="C16" s="147"/>
      <c r="D16" s="91" t="s">
        <v>14</v>
      </c>
      <c r="E16" s="91" t="s">
        <v>15</v>
      </c>
      <c r="F16" s="147"/>
      <c r="G16" s="148"/>
    </row>
    <row r="17" spans="1:7" ht="18.75">
      <c r="A17" s="92" t="s">
        <v>16</v>
      </c>
      <c r="B17" s="17" t="s">
        <v>17</v>
      </c>
      <c r="C17" s="19">
        <f>D17*C6</f>
        <v>15122.687999999998</v>
      </c>
      <c r="D17" s="19">
        <v>4.64</v>
      </c>
      <c r="E17" s="19">
        <f>C17*12</f>
        <v>181472.256</v>
      </c>
      <c r="F17" s="19">
        <f aca="true" t="shared" si="0" ref="F17:F27">C17*12</f>
        <v>181472.256</v>
      </c>
      <c r="G17" s="20"/>
    </row>
    <row r="18" spans="1:7" ht="18.75">
      <c r="A18" s="93" t="s">
        <v>20</v>
      </c>
      <c r="B18" s="25" t="s">
        <v>21</v>
      </c>
      <c r="C18" s="19">
        <f>0.47*C6</f>
        <v>1531.824</v>
      </c>
      <c r="D18" s="19">
        <v>0.47</v>
      </c>
      <c r="E18" s="19">
        <f>C18*12</f>
        <v>18381.888</v>
      </c>
      <c r="F18" s="19">
        <f t="shared" si="0"/>
        <v>18381.888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0.41421207658321063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0.034057437407952876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0.024635391098019967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C22/C7</f>
        <v>0.135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3715.488</v>
      </c>
      <c r="D23" s="19">
        <f>C23/C6</f>
        <v>1.14</v>
      </c>
      <c r="E23" s="26">
        <f>C12*0.12</f>
        <v>44585.856</v>
      </c>
      <c r="F23" s="19">
        <f t="shared" si="0"/>
        <v>44585.856</v>
      </c>
      <c r="G23" s="26"/>
    </row>
    <row r="24" spans="1:7" ht="37.5">
      <c r="A24" s="94"/>
      <c r="B24" s="29" t="s">
        <v>92</v>
      </c>
      <c r="C24" s="19">
        <f>C12*0.009/12</f>
        <v>278.6616</v>
      </c>
      <c r="D24" s="19">
        <f>C24/C6</f>
        <v>0.0855</v>
      </c>
      <c r="E24" s="26">
        <f>C12*0.009</f>
        <v>3343.9392000000003</v>
      </c>
      <c r="F24" s="19">
        <f t="shared" si="0"/>
        <v>3343.9392000000003</v>
      </c>
      <c r="G24" s="26"/>
    </row>
    <row r="25" spans="1:7" s="95" customFormat="1" ht="18.75">
      <c r="A25" s="94"/>
      <c r="B25" s="29" t="s">
        <v>93</v>
      </c>
      <c r="C25" s="19">
        <f>C12*0.025/12</f>
        <v>774.06</v>
      </c>
      <c r="D25" s="19">
        <f>C25/C6</f>
        <v>0.2375</v>
      </c>
      <c r="E25" s="26">
        <f>C25*12</f>
        <v>9288.72</v>
      </c>
      <c r="F25" s="19">
        <f t="shared" si="0"/>
        <v>9288.72</v>
      </c>
      <c r="G25" s="26"/>
    </row>
    <row r="26" spans="1:7" s="97" customFormat="1" ht="18.75">
      <c r="A26" s="96"/>
      <c r="B26" s="33" t="s">
        <v>94</v>
      </c>
      <c r="C26" s="34">
        <f>E26/12</f>
        <v>258.9535833333333</v>
      </c>
      <c r="D26" s="34">
        <f>E26/C6/12</f>
        <v>0.07945311221567665</v>
      </c>
      <c r="E26" s="35">
        <f>C9*0.01</f>
        <v>3107.4429999999998</v>
      </c>
      <c r="F26" s="19">
        <f t="shared" si="0"/>
        <v>3107.4429999999998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1.1513868433971528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27030.916849999998</v>
      </c>
      <c r="D28" s="18">
        <f>SUM(D17:D27)</f>
        <v>8.411744860702012</v>
      </c>
      <c r="E28" s="18">
        <f>SUM(E17:E27)</f>
        <v>324371.00220000005</v>
      </c>
      <c r="F28" s="18">
        <f>SUM(F17:F27)</f>
        <v>324371.00220000005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3546.841150000004</v>
      </c>
      <c r="D31" s="102">
        <f>C31/C6</f>
        <v>1.0882551392979884</v>
      </c>
      <c r="E31" s="102">
        <f>C31*12</f>
        <v>42562.093800000046</v>
      </c>
      <c r="F31" s="102">
        <f>E31</f>
        <v>42562.093800000046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29"/>
      <c r="C48" s="129"/>
      <c r="D48" s="130"/>
      <c r="E48" s="130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2" t="s">
        <v>73</v>
      </c>
      <c r="C50" s="142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3"/>
      <c r="C60" s="143"/>
      <c r="D60" s="143"/>
      <c r="E60" s="143"/>
      <c r="F60" s="65"/>
      <c r="G60" s="65"/>
    </row>
    <row r="61" spans="1:7" ht="54" customHeight="1">
      <c r="A61" s="107"/>
      <c r="B61" s="144" t="s">
        <v>98</v>
      </c>
      <c r="C61" s="144"/>
      <c r="D61" s="144"/>
      <c r="E61" s="144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2020-10-27T02:14:13Z</dcterms:created>
  <dcterms:modified xsi:type="dcterms:W3CDTF">2020-10-27T02:15:08Z</dcterms:modified>
  <cp:category/>
  <cp:version/>
  <cp:contentType/>
  <cp:contentStatus/>
</cp:coreProperties>
</file>